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35" windowWidth="17430" windowHeight="10560" tabRatio="681" activeTab="0"/>
  </bookViews>
  <sheets>
    <sheet name="TDMvsVoIP" sheetId="1" r:id="rId1"/>
    <sheet name="Carrier#1 VPN Costs Calculator" sheetId="2" r:id="rId2"/>
    <sheet name="Carrier#1 VPN-MPLS Charges" sheetId="3" r:id="rId3"/>
    <sheet name="TDMvsVoIP (old)" sheetId="4" r:id="rId4"/>
    <sheet name="TDMtrueUp" sheetId="5" r:id="rId5"/>
  </sheets>
  <definedNames/>
  <calcPr fullCalcOnLoad="1"/>
</workbook>
</file>

<file path=xl/sharedStrings.xml><?xml version="1.0" encoding="utf-8"?>
<sst xmlns="http://schemas.openxmlformats.org/spreadsheetml/2006/main" count="193" uniqueCount="86">
  <si>
    <t>Peak # Calls</t>
  </si>
  <si>
    <t>Average # Calls</t>
  </si>
  <si>
    <t>Variables</t>
  </si>
  <si>
    <t>Average Call Rate as % of Peak=</t>
  </si>
  <si>
    <t>Average Call Length(minutes)=</t>
  </si>
  <si>
    <t>VoIP Costs vs. TDM per/min</t>
  </si>
  <si>
    <t>TDM per minute "costs" =</t>
  </si>
  <si>
    <t>TDM Charges@21 days/mo.=</t>
  </si>
  <si>
    <t>Peak Simultaneous Calls=</t>
  </si>
  <si>
    <t>VoIP Bandwidth for G.711=</t>
  </si>
  <si>
    <t>VoIP Bandwidth for G.729=</t>
  </si>
  <si>
    <t xml:space="preserve">  (from above table)</t>
  </si>
  <si>
    <t>Estimated Bandwidth Requirement (kbps)</t>
  </si>
  <si>
    <t>Calculation field to ensure next higher value is used for bandwidth calc.</t>
  </si>
  <si>
    <t>MRC for Class of Service Option (COS)</t>
  </si>
  <si>
    <t>simultaneous calls at 70% utilization</t>
  </si>
  <si>
    <t>Local Access Circuit Required</t>
  </si>
  <si>
    <t>Local Access Circuit Type</t>
  </si>
  <si>
    <t>Local Access Circuit MRC</t>
  </si>
  <si>
    <t>Total "West" Monthly Recurring Charges</t>
  </si>
  <si>
    <t>Does not calculate multiple T1s for NxT1</t>
  </si>
  <si>
    <t>Access required</t>
  </si>
  <si>
    <t>Port Type</t>
  </si>
  <si>
    <t>Access Cost</t>
  </si>
  <si>
    <t>MPLS Port Speed Kbps</t>
  </si>
  <si>
    <t>Index to Maximize "lookup" functions</t>
  </si>
  <si>
    <t>MRC or ORC</t>
  </si>
  <si>
    <t>Discount</t>
  </si>
  <si>
    <t>Class of Service (COS) MRC -"High Svc"</t>
  </si>
  <si>
    <t>DS0</t>
  </si>
  <si>
    <t>FR</t>
  </si>
  <si>
    <t>T1</t>
  </si>
  <si>
    <t>FR, ATM</t>
  </si>
  <si>
    <t>NxT1</t>
  </si>
  <si>
    <t>ATM</t>
  </si>
  <si>
    <t>T3</t>
  </si>
  <si>
    <t>FR, IP,ATM</t>
  </si>
  <si>
    <t>OC3</t>
  </si>
  <si>
    <t>IP</t>
  </si>
  <si>
    <t>IP,ATM</t>
  </si>
  <si>
    <t>OC12</t>
  </si>
  <si>
    <t xml:space="preserve"> @ G.711</t>
  </si>
  <si>
    <t xml:space="preserve"> @ G.729</t>
  </si>
  <si>
    <t xml:space="preserve">  Kbps assuming</t>
  </si>
  <si>
    <t>K packets</t>
  </si>
  <si>
    <t>T1s req'd for TDM=</t>
  </si>
  <si>
    <t>Monthly Costs per T1=</t>
  </si>
  <si>
    <t>Monthly Costs for T1s=</t>
  </si>
  <si>
    <t xml:space="preserve">TDM per/min charges per day= </t>
  </si>
  <si>
    <t>Monthly TDM Estimate=</t>
  </si>
  <si>
    <t>Circuit Charges for G.711-VoIP=</t>
  </si>
  <si>
    <t>Circuit Charges for G.729-VoIP=</t>
  </si>
  <si>
    <t>Hour (of day)</t>
  </si>
  <si>
    <t xml:space="preserve"> @ % of peak from above</t>
  </si>
  <si>
    <t>Minutes based on average call length(from above)</t>
  </si>
  <si>
    <t xml:space="preserve">Total Average Minutes(per day)= </t>
  </si>
  <si>
    <t>Create variable model</t>
  </si>
  <si>
    <t>Maximum Peak Calls=</t>
  </si>
  <si>
    <t>% of peak per hour factor</t>
  </si>
  <si>
    <t>Hour</t>
  </si>
  <si>
    <t>Circuits for G.711-VoIP(mthly)=</t>
  </si>
  <si>
    <t>Circuits for G.729-VoIP(mthly)=</t>
  </si>
  <si>
    <t xml:space="preserve">  assumes circuit * 2 (egress and ingress)</t>
  </si>
  <si>
    <t>TDM</t>
  </si>
  <si>
    <t>G.711</t>
  </si>
  <si>
    <t>G.729</t>
  </si>
  <si>
    <t>Theoretical Total</t>
  </si>
  <si>
    <t>(model based on same average used % the same over the whole day)</t>
  </si>
  <si>
    <t>DS3</t>
  </si>
  <si>
    <t>OC48</t>
  </si>
  <si>
    <t>Number Simultaneous Calls</t>
  </si>
  <si>
    <t>Fixed Costs and Access</t>
  </si>
  <si>
    <t>Average</t>
  </si>
  <si>
    <t>Average Access (MRC)</t>
  </si>
  <si>
    <t>Logical Cost per T1 (MRC)</t>
  </si>
  <si>
    <t>OC192</t>
  </si>
  <si>
    <t>Logical Cost per DSO(est.)</t>
  </si>
  <si>
    <t>(guesses)</t>
  </si>
  <si>
    <t>Customer Monthly Recurring Cost (MRC)</t>
  </si>
  <si>
    <t>Customer MRC for Class of Service</t>
  </si>
  <si>
    <t>Carrier#1 Bandwidth Purchase Requirement</t>
  </si>
  <si>
    <t>Carrier#1 Base Monthly Recurring Charge (MRC)</t>
  </si>
  <si>
    <t>Carrier#1 VPN Service Schedule for MPLS</t>
  </si>
  <si>
    <t>Carrier#1 Charge</t>
  </si>
  <si>
    <t>xxx MRC Cost MPLS</t>
  </si>
  <si>
    <t>xxx MRC for COS - "High Svc"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</si>
</sst>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?_);_(@_)"/>
    <numFmt numFmtId="169" formatCode="0.0000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_(&quot;$&quot;* #,##0.00000_);_(&quot;$&quot;* \(#,##0.00000\);_(&quot;$&quot;* &quot;-&quot;??_);_(@_)"/>
    <numFmt numFmtId="173" formatCode="_(&quot;$&quot;* #,##0.000000_);_(&quot;$&quot;* \(#,##0.000000\);_(&quot;$&quot;* &quot;-&quot;??_);_(@_)"/>
    <numFmt numFmtId="174" formatCode="_(&quot;$&quot;* #,##0.0000000_);_(&quot;$&quot;* \(#,##0.0000000\);_(&quot;$&quot;* &quot;-&quot;??_);_(@_)"/>
    <numFmt numFmtId="175" formatCode="_(&quot;$&quot;* #,##0.00000000_);_(&quot;$&quot;* \(#,##0.00000000\);_(&quot;$&quot;* &quot;-&quot;??_);_(@_)"/>
    <numFmt numFmtId="176" formatCode="_(&quot;$&quot;* #,##0.000000000_);_(&quot;$&quot;* \(#,##0.000000000\);_(&quot;$&quot;* &quot;-&quot;??_);_(@_)"/>
    <numFmt numFmtId="177" formatCode="_(* #,##0.000_);_(* \(#,##0.000\);_(* &quot;-&quot;??_);_(@_)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0.000000"/>
    <numFmt numFmtId="181" formatCode="0.0000000"/>
    <numFmt numFmtId="182" formatCode="0.00000000"/>
    <numFmt numFmtId="183" formatCode="0.000000000"/>
    <numFmt numFmtId="184" formatCode="_(* #,##0.000000000_);_(* \(#,##0.000000000\);_(* &quot;-&quot;?????????_);_(@_)"/>
  </numFmts>
  <fonts count="60">
    <font>
      <sz val="10"/>
      <name val="Arial"/>
      <family val="0"/>
    </font>
    <font>
      <sz val="8"/>
      <name val="Arial"/>
      <family val="2"/>
    </font>
    <font>
      <u val="single"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8"/>
      <color indexed="55"/>
      <name val="Arial"/>
      <family val="2"/>
    </font>
    <font>
      <sz val="10"/>
      <color indexed="55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7"/>
      <color indexed="55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sz val="10"/>
      <color indexed="2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8"/>
      <color indexed="49"/>
      <name val="Arial"/>
      <family val="2"/>
    </font>
    <font>
      <u val="single"/>
      <sz val="14"/>
      <color indexed="17"/>
      <name val="Arial"/>
      <family val="2"/>
    </font>
    <font>
      <u val="single"/>
      <sz val="8"/>
      <color indexed="17"/>
      <name val="Arial"/>
      <family val="2"/>
    </font>
    <font>
      <sz val="8.5"/>
      <color indexed="8"/>
      <name val="Arial"/>
      <family val="0"/>
    </font>
    <font>
      <sz val="7.15"/>
      <color indexed="8"/>
      <name val="Arial"/>
      <family val="0"/>
    </font>
    <font>
      <sz val="5.25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5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33" borderId="14" xfId="0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179" fontId="6" fillId="33" borderId="15" xfId="44" applyNumberFormat="1" applyFont="1" applyFill="1" applyBorder="1" applyAlignment="1">
      <alignment/>
    </xf>
    <xf numFmtId="179" fontId="0" fillId="33" borderId="15" xfId="44" applyNumberFormat="1" applyFill="1" applyBorder="1" applyAlignment="1">
      <alignment/>
    </xf>
    <xf numFmtId="179" fontId="0" fillId="33" borderId="16" xfId="44" applyNumberFormat="1" applyFill="1" applyBorder="1" applyAlignment="1">
      <alignment/>
    </xf>
    <xf numFmtId="1" fontId="8" fillId="33" borderId="14" xfId="0" applyNumberFormat="1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6" fillId="33" borderId="14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 wrapText="1"/>
    </xf>
    <xf numFmtId="179" fontId="6" fillId="33" borderId="14" xfId="44" applyNumberFormat="1" applyFont="1" applyFill="1" applyBorder="1" applyAlignment="1">
      <alignment/>
    </xf>
    <xf numFmtId="0" fontId="6" fillId="33" borderId="15" xfId="0" applyFont="1" applyFill="1" applyBorder="1" applyAlignment="1">
      <alignment/>
    </xf>
    <xf numFmtId="179" fontId="10" fillId="33" borderId="15" xfId="0" applyNumberFormat="1" applyFont="1" applyFill="1" applyBorder="1" applyAlignment="1">
      <alignment/>
    </xf>
    <xf numFmtId="0" fontId="11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5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 horizontal="center" wrapText="1"/>
    </xf>
    <xf numFmtId="0" fontId="6" fillId="34" borderId="15" xfId="0" applyFont="1" applyFill="1" applyBorder="1" applyAlignment="1">
      <alignment horizontal="center" wrapText="1"/>
    </xf>
    <xf numFmtId="0" fontId="0" fillId="34" borderId="15" xfId="0" applyFill="1" applyBorder="1" applyAlignment="1">
      <alignment horizontal="center" wrapText="1"/>
    </xf>
    <xf numFmtId="0" fontId="0" fillId="34" borderId="14" xfId="0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179" fontId="6" fillId="34" borderId="15" xfId="44" applyNumberFormat="1" applyFont="1" applyFill="1" applyBorder="1" applyAlignment="1">
      <alignment/>
    </xf>
    <xf numFmtId="179" fontId="0" fillId="34" borderId="15" xfId="44" applyNumberFormat="1" applyFill="1" applyBorder="1" applyAlignment="1">
      <alignment/>
    </xf>
    <xf numFmtId="179" fontId="7" fillId="34" borderId="15" xfId="44" applyNumberFormat="1" applyFont="1" applyFill="1" applyBorder="1" applyAlignment="1">
      <alignment/>
    </xf>
    <xf numFmtId="179" fontId="0" fillId="34" borderId="16" xfId="44" applyNumberForma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1" fontId="8" fillId="34" borderId="15" xfId="0" applyNumberFormat="1" applyFont="1" applyFill="1" applyBorder="1" applyAlignment="1">
      <alignment/>
    </xf>
    <xf numFmtId="0" fontId="8" fillId="34" borderId="15" xfId="0" applyFont="1" applyFill="1" applyBorder="1" applyAlignment="1">
      <alignment/>
    </xf>
    <xf numFmtId="0" fontId="0" fillId="34" borderId="16" xfId="0" applyFill="1" applyBorder="1" applyAlignment="1">
      <alignment/>
    </xf>
    <xf numFmtId="0" fontId="6" fillId="34" borderId="14" xfId="0" applyFont="1" applyFill="1" applyBorder="1" applyAlignment="1">
      <alignment horizontal="center" wrapText="1"/>
    </xf>
    <xf numFmtId="0" fontId="9" fillId="34" borderId="15" xfId="0" applyFont="1" applyFill="1" applyBorder="1" applyAlignment="1">
      <alignment horizontal="center" wrapText="1"/>
    </xf>
    <xf numFmtId="0" fontId="6" fillId="34" borderId="14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179" fontId="10" fillId="34" borderId="15" xfId="44" applyNumberFormat="1" applyFont="1" applyFill="1" applyBorder="1" applyAlignment="1">
      <alignment/>
    </xf>
    <xf numFmtId="0" fontId="11" fillId="34" borderId="17" xfId="0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179" fontId="0" fillId="0" borderId="0" xfId="44" applyNumberFormat="1" applyAlignment="1">
      <alignment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179" fontId="1" fillId="0" borderId="0" xfId="44" applyNumberFormat="1" applyFont="1" applyAlignment="1">
      <alignment horizontal="center" wrapText="1"/>
    </xf>
    <xf numFmtId="179" fontId="9" fillId="0" borderId="0" xfId="44" applyNumberFormat="1" applyFont="1" applyAlignment="1">
      <alignment horizontal="center" wrapText="1"/>
    </xf>
    <xf numFmtId="179" fontId="0" fillId="0" borderId="0" xfId="44" applyNumberFormat="1" applyAlignment="1">
      <alignment horizontal="center"/>
    </xf>
    <xf numFmtId="179" fontId="1" fillId="0" borderId="0" xfId="44" applyNumberFormat="1" applyFont="1" applyAlignment="1">
      <alignment/>
    </xf>
    <xf numFmtId="9" fontId="1" fillId="0" borderId="0" xfId="59" applyFont="1" applyAlignment="1">
      <alignment horizontal="center"/>
    </xf>
    <xf numFmtId="179" fontId="0" fillId="0" borderId="0" xfId="44" applyNumberFormat="1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9" fontId="13" fillId="0" borderId="20" xfId="59" applyFont="1" applyBorder="1" applyAlignment="1">
      <alignment/>
    </xf>
    <xf numFmtId="0" fontId="13" fillId="0" borderId="15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5" xfId="0" applyFont="1" applyBorder="1" applyAlignment="1">
      <alignment/>
    </xf>
    <xf numFmtId="0" fontId="8" fillId="0" borderId="0" xfId="0" applyFont="1" applyAlignment="1">
      <alignment/>
    </xf>
    <xf numFmtId="179" fontId="14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9" fontId="15" fillId="0" borderId="0" xfId="59" applyFont="1" applyAlignment="1">
      <alignment/>
    </xf>
    <xf numFmtId="179" fontId="1" fillId="0" borderId="0" xfId="0" applyNumberFormat="1" applyFont="1" applyAlignment="1">
      <alignment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164" fontId="15" fillId="0" borderId="0" xfId="59" applyNumberFormat="1" applyFont="1" applyAlignment="1">
      <alignment/>
    </xf>
    <xf numFmtId="0" fontId="17" fillId="0" borderId="0" xfId="0" applyFont="1" applyAlignment="1">
      <alignment/>
    </xf>
    <xf numFmtId="167" fontId="17" fillId="0" borderId="0" xfId="42" applyNumberFormat="1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43" fontId="0" fillId="0" borderId="0" xfId="42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33" borderId="15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wrapText="1"/>
    </xf>
    <xf numFmtId="0" fontId="0" fillId="34" borderId="15" xfId="0" applyFont="1" applyFill="1" applyBorder="1" applyAlignment="1">
      <alignment horizontal="center" wrapText="1"/>
    </xf>
    <xf numFmtId="0" fontId="0" fillId="34" borderId="16" xfId="0" applyFont="1" applyFill="1" applyBorder="1" applyAlignment="1">
      <alignment horizontal="center" wrapText="1"/>
    </xf>
    <xf numFmtId="172" fontId="1" fillId="0" borderId="21" xfId="44" applyNumberFormat="1" applyFont="1" applyBorder="1" applyAlignment="1">
      <alignment/>
    </xf>
    <xf numFmtId="172" fontId="0" fillId="0" borderId="22" xfId="44" applyNumberFormat="1" applyFont="1" applyBorder="1" applyAlignment="1">
      <alignment/>
    </xf>
    <xf numFmtId="0" fontId="1" fillId="0" borderId="0" xfId="0" applyFont="1" applyAlignment="1">
      <alignment/>
    </xf>
    <xf numFmtId="179" fontId="1" fillId="0" borderId="21" xfId="44" applyNumberFormat="1" applyFont="1" applyBorder="1" applyAlignment="1">
      <alignment/>
    </xf>
    <xf numFmtId="179" fontId="1" fillId="0" borderId="23" xfId="44" applyNumberFormat="1" applyFont="1" applyBorder="1" applyAlignment="1">
      <alignment/>
    </xf>
    <xf numFmtId="179" fontId="1" fillId="0" borderId="22" xfId="44" applyNumberFormat="1" applyFont="1" applyBorder="1" applyAlignment="1">
      <alignment/>
    </xf>
    <xf numFmtId="179" fontId="1" fillId="0" borderId="0" xfId="44" applyNumberFormat="1" applyFont="1" applyAlignment="1">
      <alignment/>
    </xf>
    <xf numFmtId="179" fontId="13" fillId="0" borderId="0" xfId="44" applyNumberFormat="1" applyFont="1" applyAlignment="1">
      <alignment/>
    </xf>
    <xf numFmtId="167" fontId="1" fillId="0" borderId="0" xfId="42" applyNumberFormat="1" applyFont="1" applyAlignment="1">
      <alignment horizontal="left"/>
    </xf>
    <xf numFmtId="0" fontId="0" fillId="0" borderId="0" xfId="0" applyAlignment="1">
      <alignment horizontal="left"/>
    </xf>
    <xf numFmtId="44" fontId="1" fillId="0" borderId="0" xfId="44" applyFont="1" applyAlignment="1">
      <alignment/>
    </xf>
    <xf numFmtId="44" fontId="0" fillId="0" borderId="0" xfId="44" applyFont="1" applyAlignment="1">
      <alignment/>
    </xf>
    <xf numFmtId="179" fontId="1" fillId="0" borderId="0" xfId="0" applyNumberFormat="1" applyFont="1" applyAlignment="1">
      <alignment/>
    </xf>
    <xf numFmtId="179" fontId="0" fillId="0" borderId="0" xfId="0" applyNumberFormat="1" applyAlignment="1">
      <alignment/>
    </xf>
    <xf numFmtId="172" fontId="0" fillId="0" borderId="22" xfId="44" applyNumberFormat="1" applyBorder="1" applyAlignment="1">
      <alignment/>
    </xf>
    <xf numFmtId="44" fontId="0" fillId="0" borderId="0" xfId="44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1485"/>
          <c:w val="0.9525"/>
          <c:h val="0.80675"/>
        </c:manualLayout>
      </c:layout>
      <c:areaChart>
        <c:grouping val="standard"/>
        <c:varyColors val="0"/>
        <c:ser>
          <c:idx val="0"/>
          <c:order val="0"/>
          <c:tx>
            <c:strRef>
              <c:f>TDMvsVoIP!$A$6</c:f>
              <c:strCache>
                <c:ptCount val="1"/>
                <c:pt idx="0">
                  <c:v>Peak # Calls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TDMvsVoIP!$B$6:$Y$6</c:f>
              <c:numCache/>
            </c:numRef>
          </c:val>
        </c:ser>
        <c:ser>
          <c:idx val="1"/>
          <c:order val="1"/>
          <c:tx>
            <c:strRef>
              <c:f>TDMvsVoIP!$A$7</c:f>
              <c:strCache>
                <c:ptCount val="1"/>
                <c:pt idx="0">
                  <c:v>Average # Calls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TDMvsVoIP!$B$7:$Y$7</c:f>
              <c:numCache/>
            </c:numRef>
          </c:val>
        </c:ser>
        <c:axId val="59824602"/>
        <c:axId val="1550507"/>
      </c:areaChart>
      <c:catAx>
        <c:axId val="59824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0507"/>
        <c:crosses val="autoZero"/>
        <c:auto val="1"/>
        <c:lblOffset val="100"/>
        <c:tickLblSkip val="2"/>
        <c:noMultiLvlLbl val="0"/>
      </c:catAx>
      <c:valAx>
        <c:axId val="15505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2460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2575"/>
          <c:y val="0.01225"/>
          <c:w val="0.3895"/>
          <c:h val="0.0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Costs (est.)</a:t>
            </a:r>
          </a:p>
        </c:rich>
      </c:tx>
      <c:layout>
        <c:manualLayout>
          <c:xMode val="factor"/>
          <c:yMode val="factor"/>
          <c:x val="-0.0235"/>
          <c:y val="0"/>
        </c:manualLayout>
      </c:layout>
      <c:spPr>
        <a:noFill/>
        <a:ln>
          <a:noFill/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13775"/>
          <c:y val="0.2005"/>
          <c:w val="0.8335"/>
          <c:h val="0.601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TDMvsVoIP!$B$24:$D$24</c:f>
              <c:strCache/>
            </c:strRef>
          </c:cat>
          <c:val>
            <c:numRef>
              <c:f>TDMvsVoIP!$B$25:$D$25</c:f>
              <c:numCache/>
            </c:numRef>
          </c:val>
          <c:shape val="box"/>
        </c:ser>
        <c:shape val="box"/>
        <c:axId val="13954564"/>
        <c:axId val="58482213"/>
      </c:bar3DChart>
      <c:catAx>
        <c:axId val="13954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82213"/>
        <c:crosses val="autoZero"/>
        <c:auto val="1"/>
        <c:lblOffset val="100"/>
        <c:tickLblSkip val="1"/>
        <c:noMultiLvlLbl val="0"/>
      </c:catAx>
      <c:valAx>
        <c:axId val="584822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5456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10</xdr:row>
      <xdr:rowOff>0</xdr:rowOff>
    </xdr:from>
    <xdr:to>
      <xdr:col>24</xdr:col>
      <xdr:colOff>190500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5181600" y="1733550"/>
        <a:ext cx="426720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22</xdr:row>
      <xdr:rowOff>47625</xdr:rowOff>
    </xdr:from>
    <xdr:to>
      <xdr:col>10</xdr:col>
      <xdr:colOff>95250</xdr:colOff>
      <xdr:row>31</xdr:row>
      <xdr:rowOff>123825</xdr:rowOff>
    </xdr:to>
    <xdr:graphicFrame>
      <xdr:nvGraphicFramePr>
        <xdr:cNvPr id="2" name="Chart 10"/>
        <xdr:cNvGraphicFramePr/>
      </xdr:nvGraphicFramePr>
      <xdr:xfrm>
        <a:off x="600075" y="3724275"/>
        <a:ext cx="3743325" cy="1533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Z37"/>
  <sheetViews>
    <sheetView tabSelected="1" zoomScale="95" zoomScaleNormal="95" zoomScalePageLayoutView="0" workbookViewId="0" topLeftCell="A1">
      <selection activeCell="P31" sqref="P31"/>
    </sheetView>
  </sheetViews>
  <sheetFormatPr defaultColWidth="9.140625" defaultRowHeight="12.75"/>
  <cols>
    <col min="1" max="1" width="21.57421875" style="0" customWidth="1"/>
    <col min="2" max="8" width="4.421875" style="2" customWidth="1"/>
    <col min="9" max="9" width="5.8515625" style="2" customWidth="1"/>
    <col min="10" max="10" width="5.28125" style="2" customWidth="1"/>
    <col min="11" max="11" width="6.00390625" style="2" customWidth="1"/>
    <col min="12" max="12" width="6.28125" style="2" customWidth="1"/>
    <col min="13" max="13" width="6.57421875" style="2" customWidth="1"/>
    <col min="14" max="15" width="5.8515625" style="2" customWidth="1"/>
    <col min="16" max="16" width="6.28125" style="2" customWidth="1"/>
    <col min="17" max="17" width="5.140625" style="2" customWidth="1"/>
    <col min="18" max="18" width="5.00390625" style="2" customWidth="1"/>
    <col min="19" max="19" width="5.28125" style="2" customWidth="1"/>
    <col min="20" max="20" width="5.140625" style="2" customWidth="1"/>
    <col min="21" max="25" width="4.421875" style="2" customWidth="1"/>
    <col min="26" max="26" width="9.8515625" style="0" bestFit="1" customWidth="1"/>
  </cols>
  <sheetData>
    <row r="1" spans="1:6" s="9" customFormat="1" ht="18">
      <c r="A1" s="91" t="s">
        <v>5</v>
      </c>
      <c r="F1" s="92" t="s">
        <v>67</v>
      </c>
    </row>
    <row r="2" spans="1:17" ht="12.75">
      <c r="A2" s="96" t="s">
        <v>2</v>
      </c>
      <c r="I2" s="3" t="s">
        <v>3</v>
      </c>
      <c r="J2" s="73">
        <v>0.88</v>
      </c>
      <c r="P2" s="3" t="s">
        <v>4</v>
      </c>
      <c r="Q2" s="74">
        <v>13.3</v>
      </c>
    </row>
    <row r="3" spans="9:17" ht="12.75">
      <c r="I3" s="3" t="s">
        <v>6</v>
      </c>
      <c r="J3" s="101">
        <v>0.012</v>
      </c>
      <c r="K3" s="102"/>
      <c r="P3" s="3" t="s">
        <v>57</v>
      </c>
      <c r="Q3" s="77">
        <v>525</v>
      </c>
    </row>
    <row r="4" spans="1:25" ht="6.75" customHeight="1">
      <c r="A4" s="86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</row>
    <row r="5" spans="1:25" ht="12.75">
      <c r="A5" s="75" t="s">
        <v>52</v>
      </c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  <c r="N5" s="4">
        <v>13</v>
      </c>
      <c r="O5" s="4">
        <v>14</v>
      </c>
      <c r="P5" s="4">
        <v>15</v>
      </c>
      <c r="Q5" s="4">
        <v>16</v>
      </c>
      <c r="R5" s="4">
        <v>17</v>
      </c>
      <c r="S5" s="4">
        <v>18</v>
      </c>
      <c r="T5" s="4">
        <v>19</v>
      </c>
      <c r="U5" s="4">
        <v>20</v>
      </c>
      <c r="V5" s="4">
        <v>21</v>
      </c>
      <c r="W5" s="4">
        <v>22</v>
      </c>
      <c r="X5" s="4">
        <v>23</v>
      </c>
      <c r="Y5" s="4">
        <v>24</v>
      </c>
    </row>
    <row r="6" spans="1:25" ht="12.75">
      <c r="A6" t="s">
        <v>0</v>
      </c>
      <c r="B6" s="7">
        <f>B37*$Q$3</f>
        <v>4.666666666666667</v>
      </c>
      <c r="C6" s="7">
        <f aca="true" t="shared" si="0" ref="C6:Y6">C37*$Q$3</f>
        <v>3.5000000000000004</v>
      </c>
      <c r="D6" s="7">
        <f t="shared" si="0"/>
        <v>3.5000000000000004</v>
      </c>
      <c r="E6" s="7">
        <f t="shared" si="0"/>
        <v>2.916666666666667</v>
      </c>
      <c r="F6" s="7">
        <f t="shared" si="0"/>
        <v>8.75</v>
      </c>
      <c r="G6" s="7">
        <f t="shared" si="0"/>
        <v>12.833333333333334</v>
      </c>
      <c r="H6" s="7">
        <f t="shared" si="0"/>
        <v>16.333333333333332</v>
      </c>
      <c r="I6" s="7">
        <f t="shared" si="0"/>
        <v>35</v>
      </c>
      <c r="J6" s="7">
        <f t="shared" si="0"/>
        <v>128.33333333333334</v>
      </c>
      <c r="K6" s="7">
        <f t="shared" si="0"/>
        <v>456.75</v>
      </c>
      <c r="L6" s="7">
        <f t="shared" si="0"/>
        <v>525</v>
      </c>
      <c r="M6" s="7">
        <f t="shared" si="0"/>
        <v>285.8333333333333</v>
      </c>
      <c r="N6" s="7">
        <f t="shared" si="0"/>
        <v>408.3333333333333</v>
      </c>
      <c r="O6" s="7">
        <f t="shared" si="0"/>
        <v>448.34999999999997</v>
      </c>
      <c r="P6" s="7">
        <f t="shared" si="0"/>
        <v>467.77500000000003</v>
      </c>
      <c r="Q6" s="7">
        <f t="shared" si="0"/>
        <v>221.66666666666666</v>
      </c>
      <c r="R6" s="7">
        <f t="shared" si="0"/>
        <v>81.08333333333333</v>
      </c>
      <c r="S6" s="7">
        <f t="shared" si="0"/>
        <v>30.333333333333332</v>
      </c>
      <c r="T6" s="7">
        <f t="shared" si="0"/>
        <v>28.000000000000004</v>
      </c>
      <c r="U6" s="7">
        <f t="shared" si="0"/>
        <v>18.083333333333332</v>
      </c>
      <c r="V6" s="7">
        <f t="shared" si="0"/>
        <v>16.333333333333332</v>
      </c>
      <c r="W6" s="7">
        <f t="shared" si="0"/>
        <v>9.916666666666666</v>
      </c>
      <c r="X6" s="7">
        <f t="shared" si="0"/>
        <v>7.000000000000001</v>
      </c>
      <c r="Y6" s="7">
        <f t="shared" si="0"/>
        <v>4.083333333333333</v>
      </c>
    </row>
    <row r="7" spans="1:25" ht="12.75">
      <c r="A7" t="s">
        <v>1</v>
      </c>
      <c r="B7" s="7">
        <f>B6*$J$2</f>
        <v>4.106666666666667</v>
      </c>
      <c r="C7" s="7">
        <f aca="true" t="shared" si="1" ref="C7:Y7">C6*$J$2</f>
        <v>3.0800000000000005</v>
      </c>
      <c r="D7" s="7">
        <f t="shared" si="1"/>
        <v>3.0800000000000005</v>
      </c>
      <c r="E7" s="7">
        <f t="shared" si="1"/>
        <v>2.566666666666667</v>
      </c>
      <c r="F7" s="7">
        <f t="shared" si="1"/>
        <v>7.7</v>
      </c>
      <c r="G7" s="7">
        <f t="shared" si="1"/>
        <v>11.293333333333335</v>
      </c>
      <c r="H7" s="7">
        <f t="shared" si="1"/>
        <v>14.373333333333333</v>
      </c>
      <c r="I7" s="7">
        <f t="shared" si="1"/>
        <v>30.8</v>
      </c>
      <c r="J7" s="7">
        <f t="shared" si="1"/>
        <v>112.93333333333334</v>
      </c>
      <c r="K7" s="7">
        <f t="shared" si="1"/>
        <v>401.94</v>
      </c>
      <c r="L7" s="7">
        <f t="shared" si="1"/>
        <v>462</v>
      </c>
      <c r="M7" s="7">
        <f t="shared" si="1"/>
        <v>251.53333333333333</v>
      </c>
      <c r="N7" s="7">
        <f t="shared" si="1"/>
        <v>359.3333333333333</v>
      </c>
      <c r="O7" s="7">
        <f t="shared" si="1"/>
        <v>394.54799999999994</v>
      </c>
      <c r="P7" s="7">
        <f t="shared" si="1"/>
        <v>411.64200000000005</v>
      </c>
      <c r="Q7" s="7">
        <f t="shared" si="1"/>
        <v>195.06666666666666</v>
      </c>
      <c r="R7" s="7">
        <f t="shared" si="1"/>
        <v>71.35333333333332</v>
      </c>
      <c r="S7" s="7">
        <f t="shared" si="1"/>
        <v>26.69333333333333</v>
      </c>
      <c r="T7" s="7">
        <f t="shared" si="1"/>
        <v>24.640000000000004</v>
      </c>
      <c r="U7" s="7">
        <f t="shared" si="1"/>
        <v>15.913333333333332</v>
      </c>
      <c r="V7" s="7">
        <f t="shared" si="1"/>
        <v>14.373333333333333</v>
      </c>
      <c r="W7" s="7">
        <f t="shared" si="1"/>
        <v>8.726666666666667</v>
      </c>
      <c r="X7" s="7">
        <f t="shared" si="1"/>
        <v>6.160000000000001</v>
      </c>
      <c r="Y7" s="7">
        <f t="shared" si="1"/>
        <v>3.5933333333333333</v>
      </c>
    </row>
    <row r="8" spans="1:26" ht="12.75">
      <c r="A8" s="3" t="s">
        <v>53</v>
      </c>
      <c r="Z8" s="89" t="s">
        <v>66</v>
      </c>
    </row>
    <row r="9" spans="1:26" ht="22.5">
      <c r="A9" s="76" t="s">
        <v>54</v>
      </c>
      <c r="B9" s="6">
        <f>B7*$Q$2</f>
        <v>54.61866666666668</v>
      </c>
      <c r="C9" s="6">
        <f aca="true" t="shared" si="2" ref="C9:Y9">C7*$Q$2</f>
        <v>40.964000000000006</v>
      </c>
      <c r="D9" s="6">
        <f t="shared" si="2"/>
        <v>40.964000000000006</v>
      </c>
      <c r="E9" s="6">
        <f t="shared" si="2"/>
        <v>34.13666666666667</v>
      </c>
      <c r="F9" s="6">
        <f t="shared" si="2"/>
        <v>102.41000000000001</v>
      </c>
      <c r="G9" s="6">
        <f t="shared" si="2"/>
        <v>150.20133333333337</v>
      </c>
      <c r="H9" s="6">
        <f t="shared" si="2"/>
        <v>191.16533333333334</v>
      </c>
      <c r="I9" s="6">
        <f t="shared" si="2"/>
        <v>409.64000000000004</v>
      </c>
      <c r="J9" s="6">
        <f t="shared" si="2"/>
        <v>1502.0133333333335</v>
      </c>
      <c r="K9" s="6">
        <f t="shared" si="2"/>
        <v>5345.802000000001</v>
      </c>
      <c r="L9" s="6">
        <f t="shared" si="2"/>
        <v>6144.6</v>
      </c>
      <c r="M9" s="6">
        <f t="shared" si="2"/>
        <v>3345.3933333333334</v>
      </c>
      <c r="N9" s="6">
        <f t="shared" si="2"/>
        <v>4779.133333333333</v>
      </c>
      <c r="O9" s="6">
        <f t="shared" si="2"/>
        <v>5247.488399999999</v>
      </c>
      <c r="P9" s="6">
        <f t="shared" si="2"/>
        <v>5474.838600000001</v>
      </c>
      <c r="Q9" s="6">
        <f t="shared" si="2"/>
        <v>2594.3866666666668</v>
      </c>
      <c r="R9" s="6">
        <f t="shared" si="2"/>
        <v>948.9993333333333</v>
      </c>
      <c r="S9" s="6">
        <f t="shared" si="2"/>
        <v>355.0213333333333</v>
      </c>
      <c r="T9" s="6">
        <f t="shared" si="2"/>
        <v>327.71200000000005</v>
      </c>
      <c r="U9" s="6">
        <f t="shared" si="2"/>
        <v>211.64733333333334</v>
      </c>
      <c r="V9" s="6">
        <f t="shared" si="2"/>
        <v>191.16533333333334</v>
      </c>
      <c r="W9" s="6">
        <f t="shared" si="2"/>
        <v>116.06466666666667</v>
      </c>
      <c r="X9" s="6">
        <f t="shared" si="2"/>
        <v>81.92800000000001</v>
      </c>
      <c r="Y9" s="6">
        <f t="shared" si="2"/>
        <v>47.791333333333334</v>
      </c>
      <c r="Z9" s="90">
        <f>SUM(B9:Y9)</f>
        <v>37738.08499999999</v>
      </c>
    </row>
    <row r="11" spans="2:7" ht="12.75">
      <c r="B11" s="3" t="s">
        <v>55</v>
      </c>
      <c r="C11" s="109">
        <f>SUM(B9:Y9)</f>
        <v>37738.08499999999</v>
      </c>
      <c r="D11" s="110"/>
      <c r="E11" s="110"/>
      <c r="F11" s="110"/>
      <c r="G11" s="110"/>
    </row>
    <row r="12" spans="2:7" ht="12.75">
      <c r="B12" s="3" t="s">
        <v>48</v>
      </c>
      <c r="C12" s="111">
        <f>J3*C11</f>
        <v>452.8570199999999</v>
      </c>
      <c r="D12" s="112"/>
      <c r="E12" s="112"/>
      <c r="F12" s="112"/>
      <c r="G12" s="112"/>
    </row>
    <row r="13" spans="2:7" ht="12.75">
      <c r="B13" s="3" t="s">
        <v>7</v>
      </c>
      <c r="C13" s="113">
        <f>C12*21</f>
        <v>9509.997419999998</v>
      </c>
      <c r="D13" s="114"/>
      <c r="E13" s="114"/>
      <c r="F13" s="114"/>
      <c r="G13" s="114"/>
    </row>
    <row r="14" spans="2:8" ht="12.75">
      <c r="B14" s="3" t="s">
        <v>8</v>
      </c>
      <c r="C14" s="103">
        <f>MAX(B6:Y6)</f>
        <v>525</v>
      </c>
      <c r="D14" s="103"/>
      <c r="E14" s="103"/>
      <c r="F14" s="103"/>
      <c r="G14" s="103"/>
      <c r="H14" s="2" t="s">
        <v>11</v>
      </c>
    </row>
    <row r="15" spans="2:7" ht="12.75">
      <c r="B15" s="3" t="s">
        <v>45</v>
      </c>
      <c r="C15" s="103">
        <f>ROUNDUP(C14/24,0)</f>
        <v>22</v>
      </c>
      <c r="D15" s="103"/>
      <c r="E15" s="103"/>
      <c r="F15" s="103"/>
      <c r="G15" s="103"/>
    </row>
    <row r="16" spans="2:7" ht="12.75">
      <c r="B16" s="3" t="s">
        <v>46</v>
      </c>
      <c r="C16" s="104">
        <v>190</v>
      </c>
      <c r="D16" s="105"/>
      <c r="E16" s="105"/>
      <c r="F16" s="105"/>
      <c r="G16" s="106"/>
    </row>
    <row r="17" spans="2:7" ht="12.75">
      <c r="B17" s="3" t="s">
        <v>47</v>
      </c>
      <c r="C17" s="107">
        <f>C15*C16</f>
        <v>4180</v>
      </c>
      <c r="D17" s="107"/>
      <c r="E17" s="107"/>
      <c r="F17" s="107"/>
      <c r="G17" s="107"/>
    </row>
    <row r="18" spans="2:7" ht="12.75">
      <c r="B18" s="72" t="s">
        <v>49</v>
      </c>
      <c r="C18" s="108">
        <f>C13+C17</f>
        <v>13689.997419999998</v>
      </c>
      <c r="D18" s="108"/>
      <c r="E18" s="108"/>
      <c r="F18" s="108"/>
      <c r="G18" s="108"/>
    </row>
    <row r="19" spans="2:12" ht="12.75">
      <c r="B19" s="3" t="s">
        <v>9</v>
      </c>
      <c r="C19" s="103">
        <f>$C$14*K19</f>
        <v>44100</v>
      </c>
      <c r="D19" s="103"/>
      <c r="E19" s="103"/>
      <c r="F19" s="103"/>
      <c r="G19" s="103"/>
      <c r="H19" s="2" t="s">
        <v>43</v>
      </c>
      <c r="K19" s="80">
        <v>84</v>
      </c>
      <c r="L19" s="2" t="s">
        <v>44</v>
      </c>
    </row>
    <row r="20" spans="2:12" ht="12.75">
      <c r="B20" s="3" t="s">
        <v>10</v>
      </c>
      <c r="C20" s="103">
        <f>$C$14*K20</f>
        <v>16275</v>
      </c>
      <c r="D20" s="103"/>
      <c r="E20" s="103"/>
      <c r="F20" s="103"/>
      <c r="G20" s="103"/>
      <c r="H20" s="2" t="s">
        <v>43</v>
      </c>
      <c r="K20" s="80">
        <v>31</v>
      </c>
      <c r="L20" s="2" t="s">
        <v>44</v>
      </c>
    </row>
    <row r="21" spans="2:8" ht="12.75">
      <c r="B21" s="72" t="s">
        <v>60</v>
      </c>
      <c r="C21" s="108">
        <f>('Carrier#1 VPN Costs Calculator'!G6)*2</f>
        <v>19287.92</v>
      </c>
      <c r="D21" s="108"/>
      <c r="E21" s="108"/>
      <c r="F21" s="108"/>
      <c r="G21" s="108"/>
      <c r="H21" s="78" t="s">
        <v>62</v>
      </c>
    </row>
    <row r="22" spans="2:8" ht="12.75">
      <c r="B22" s="72" t="s">
        <v>61</v>
      </c>
      <c r="C22" s="108">
        <f>('Carrier#1 VPN Costs Calculator'!G14)*2</f>
        <v>12876.560000000001</v>
      </c>
      <c r="D22" s="108"/>
      <c r="E22" s="108"/>
      <c r="F22" s="108"/>
      <c r="G22" s="108"/>
      <c r="H22" s="78" t="s">
        <v>62</v>
      </c>
    </row>
    <row r="24" spans="1:4" ht="12.75">
      <c r="A24" s="79"/>
      <c r="B24" s="2" t="s">
        <v>63</v>
      </c>
      <c r="C24" s="2" t="s">
        <v>64</v>
      </c>
      <c r="D24" s="2" t="s">
        <v>65</v>
      </c>
    </row>
    <row r="25" spans="1:5" ht="12.75">
      <c r="A25" s="79"/>
      <c r="B25" s="85">
        <f>C18</f>
        <v>13689.997419999998</v>
      </c>
      <c r="C25" s="85">
        <f>C21</f>
        <v>19287.92</v>
      </c>
      <c r="D25" s="85">
        <f>C22</f>
        <v>12876.560000000001</v>
      </c>
      <c r="E25" s="85"/>
    </row>
    <row r="26" ht="12.75">
      <c r="A26" s="79"/>
    </row>
    <row r="35" spans="1:25" ht="12.75">
      <c r="A35" s="81" t="s">
        <v>56</v>
      </c>
      <c r="B35" s="82" t="s">
        <v>77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</row>
    <row r="36" spans="1:25" ht="12.75">
      <c r="A36" s="81" t="s">
        <v>59</v>
      </c>
      <c r="B36" s="83">
        <v>1</v>
      </c>
      <c r="C36" s="83">
        <v>2</v>
      </c>
      <c r="D36" s="83">
        <v>3</v>
      </c>
      <c r="E36" s="83">
        <v>4</v>
      </c>
      <c r="F36" s="83">
        <v>5</v>
      </c>
      <c r="G36" s="83">
        <v>6</v>
      </c>
      <c r="H36" s="83">
        <v>7</v>
      </c>
      <c r="I36" s="83">
        <v>8</v>
      </c>
      <c r="J36" s="83">
        <v>9</v>
      </c>
      <c r="K36" s="83">
        <v>10</v>
      </c>
      <c r="L36" s="83">
        <v>11</v>
      </c>
      <c r="M36" s="83">
        <v>12</v>
      </c>
      <c r="N36" s="83">
        <v>13</v>
      </c>
      <c r="O36" s="83">
        <v>14</v>
      </c>
      <c r="P36" s="83">
        <v>15</v>
      </c>
      <c r="Q36" s="83">
        <v>16</v>
      </c>
      <c r="R36" s="83">
        <v>17</v>
      </c>
      <c r="S36" s="83">
        <v>18</v>
      </c>
      <c r="T36" s="83">
        <v>19</v>
      </c>
      <c r="U36" s="83">
        <v>20</v>
      </c>
      <c r="V36" s="83">
        <v>21</v>
      </c>
      <c r="W36" s="83">
        <v>22</v>
      </c>
      <c r="X36" s="83">
        <v>23</v>
      </c>
      <c r="Y36" s="83">
        <v>24</v>
      </c>
    </row>
    <row r="37" spans="1:25" ht="12.75">
      <c r="A37" s="82" t="s">
        <v>58</v>
      </c>
      <c r="B37" s="82">
        <v>0.008888888888888889</v>
      </c>
      <c r="C37" s="82">
        <v>0.006666666666666667</v>
      </c>
      <c r="D37" s="82">
        <v>0.006666666666666667</v>
      </c>
      <c r="E37" s="82">
        <v>0.005555555555555556</v>
      </c>
      <c r="F37" s="82">
        <v>0.016666666666666666</v>
      </c>
      <c r="G37" s="82">
        <v>0.024444444444444446</v>
      </c>
      <c r="H37" s="82">
        <v>0.03111111111111111</v>
      </c>
      <c r="I37" s="82">
        <v>0.06666666666666667</v>
      </c>
      <c r="J37" s="82">
        <v>0.24444444444444444</v>
      </c>
      <c r="K37" s="88">
        <v>0.87</v>
      </c>
      <c r="L37" s="84">
        <v>1</v>
      </c>
      <c r="M37" s="82">
        <v>0.5444444444444444</v>
      </c>
      <c r="N37" s="82">
        <v>0.7777777777777778</v>
      </c>
      <c r="O37" s="82">
        <v>0.854</v>
      </c>
      <c r="P37" s="82">
        <v>0.891</v>
      </c>
      <c r="Q37" s="82">
        <v>0.4222222222222222</v>
      </c>
      <c r="R37" s="82">
        <v>0.15444444444444444</v>
      </c>
      <c r="S37" s="82">
        <v>0.057777777777777775</v>
      </c>
      <c r="T37" s="82">
        <v>0.05333333333333334</v>
      </c>
      <c r="U37" s="82">
        <v>0.034444444444444444</v>
      </c>
      <c r="V37" s="82">
        <v>0.03111111111111111</v>
      </c>
      <c r="W37" s="82">
        <v>0.01888888888888889</v>
      </c>
      <c r="X37" s="82">
        <v>0.013333333333333334</v>
      </c>
      <c r="Y37" s="82">
        <v>0.0077777777777777776</v>
      </c>
    </row>
  </sheetData>
  <sheetProtection/>
  <mergeCells count="13">
    <mergeCell ref="C19:G19"/>
    <mergeCell ref="C20:G20"/>
    <mergeCell ref="C21:G21"/>
    <mergeCell ref="J3:K3"/>
    <mergeCell ref="C15:G15"/>
    <mergeCell ref="C16:G16"/>
    <mergeCell ref="C17:G17"/>
    <mergeCell ref="C22:G22"/>
    <mergeCell ref="C11:G11"/>
    <mergeCell ref="C12:G12"/>
    <mergeCell ref="C13:G13"/>
    <mergeCell ref="C14:G14"/>
    <mergeCell ref="C18:G1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15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3.57421875" style="0" customWidth="1"/>
    <col min="2" max="2" width="12.00390625" style="0" customWidth="1"/>
    <col min="3" max="3" width="11.7109375" style="0" customWidth="1"/>
    <col min="4" max="4" width="14.140625" style="0" customWidth="1"/>
    <col min="5" max="5" width="11.00390625" style="0" customWidth="1"/>
    <col min="6" max="6" width="14.140625" style="0" customWidth="1"/>
    <col min="7" max="7" width="13.7109375" style="0" customWidth="1"/>
    <col min="8" max="8" width="10.7109375" style="0" bestFit="1" customWidth="1"/>
    <col min="9" max="9" width="9.28125" style="0" customWidth="1"/>
  </cols>
  <sheetData>
    <row r="1" spans="2:8" ht="18">
      <c r="B1" s="10" t="s">
        <v>41</v>
      </c>
      <c r="C1" s="11"/>
      <c r="D1" s="11"/>
      <c r="E1" s="11"/>
      <c r="F1" s="11"/>
      <c r="G1" s="11"/>
      <c r="H1" s="12"/>
    </row>
    <row r="2" spans="1:10" ht="58.5" customHeight="1">
      <c r="A2" s="1"/>
      <c r="B2" s="13" t="s">
        <v>12</v>
      </c>
      <c r="C2" s="14" t="s">
        <v>13</v>
      </c>
      <c r="D2" s="15" t="s">
        <v>80</v>
      </c>
      <c r="E2" s="14" t="s">
        <v>81</v>
      </c>
      <c r="F2" s="97" t="s">
        <v>78</v>
      </c>
      <c r="G2" s="14" t="s">
        <v>14</v>
      </c>
      <c r="H2" s="98" t="s">
        <v>79</v>
      </c>
      <c r="I2" s="16"/>
      <c r="J2" s="17"/>
    </row>
    <row r="3" spans="2:8" ht="12.75">
      <c r="B3" s="18">
        <f>TDMvsVoIP!C19</f>
        <v>44100</v>
      </c>
      <c r="C3" s="19">
        <f>LOOKUP(B3,'Carrier#1 VPN-MPLS Charges'!D4:'Carrier#1 VPN-MPLS Charges'!D4:D40)</f>
        <v>30000</v>
      </c>
      <c r="D3" s="20">
        <f>IF(B3&gt;C3,LOOKUP(B3,'Carrier#1 VPN-MPLS Charges'!D4:'Carrier#1 VPN-MPLS Charges'!E4:E40),LOOKUP(B3,'Carrier#1 VPN-MPLS Charges'!D4:'Carrier#1 VPN-MPLS Charges'!D4:D40))</f>
        <v>45000</v>
      </c>
      <c r="E3" s="21">
        <f>LOOKUP(D3,'Carrier#1 VPN-MPLS Charges'!D4:'Carrier#1 VPN-MPLS Charges'!G4:G40)</f>
        <v>16090</v>
      </c>
      <c r="F3" s="22">
        <f>LOOKUP(D3,'Carrier#1 VPN-MPLS Charges'!D4:'Carrier#1 VPN-MPLS Charges'!I4:I40)</f>
        <v>5953.3</v>
      </c>
      <c r="G3" s="21">
        <f>LOOKUP(D3,'Carrier#1 VPN-MPLS Charges'!D4:'Carrier#1 VPN-MPLS Charges'!J4:J40)</f>
        <v>3218</v>
      </c>
      <c r="H3" s="23">
        <f>LOOKUP(D3,'Carrier#1 VPN-MPLS Charges'!D4:'Carrier#1 VPN-MPLS Charges'!L4:L40)</f>
        <v>1190.66</v>
      </c>
    </row>
    <row r="4" spans="2:8" ht="12.75">
      <c r="B4" s="24"/>
      <c r="C4" s="25"/>
      <c r="D4" s="24">
        <f>(D3/93)*0.7</f>
        <v>338.7096774193548</v>
      </c>
      <c r="E4" s="25" t="s">
        <v>15</v>
      </c>
      <c r="F4" s="26"/>
      <c r="G4" s="26"/>
      <c r="H4" s="27"/>
    </row>
    <row r="5" spans="2:8" ht="51">
      <c r="B5" s="28" t="s">
        <v>16</v>
      </c>
      <c r="C5" s="14" t="s">
        <v>17</v>
      </c>
      <c r="D5" s="15" t="s">
        <v>18</v>
      </c>
      <c r="E5" s="26"/>
      <c r="F5" s="26"/>
      <c r="G5" s="29" t="s">
        <v>19</v>
      </c>
      <c r="H5" s="27"/>
    </row>
    <row r="6" spans="2:8" ht="15.75">
      <c r="B6" s="30" t="str">
        <f>LOOKUP(D3,'Carrier#1 VPN-MPLS Charges'!D4:D41,'Carrier#1 VPN-MPLS Charges'!A4:A40)</f>
        <v>T3</v>
      </c>
      <c r="C6" s="31" t="str">
        <f>LOOKUP(D3,'Carrier#1 VPN-MPLS Charges'!D4:D41,'Carrier#1 VPN-MPLS Charges'!B4:B40)</f>
        <v>FR, IP,ATM</v>
      </c>
      <c r="D6" s="22">
        <f>LOOKUP(D3,'Carrier#1 VPN-MPLS Charges'!D4:D41,'Carrier#1 VPN-MPLS Charges'!C4:C40)</f>
        <v>2500</v>
      </c>
      <c r="E6" s="26"/>
      <c r="F6" s="26"/>
      <c r="G6" s="32">
        <f>IF(D3=999999,(F3+H3+D6)*2,F3+H3+D6)</f>
        <v>9643.96</v>
      </c>
      <c r="H6" s="27"/>
    </row>
    <row r="7" spans="2:8" ht="13.5" thickBot="1">
      <c r="B7" s="33" t="s">
        <v>20</v>
      </c>
      <c r="C7" s="34"/>
      <c r="D7" s="34"/>
      <c r="E7" s="34"/>
      <c r="F7" s="34"/>
      <c r="G7" s="34"/>
      <c r="H7" s="35"/>
    </row>
    <row r="8" ht="13.5" thickBot="1"/>
    <row r="9" spans="2:8" ht="18">
      <c r="B9" s="36" t="s">
        <v>42</v>
      </c>
      <c r="C9" s="37"/>
      <c r="D9" s="37"/>
      <c r="E9" s="37"/>
      <c r="F9" s="37"/>
      <c r="G9" s="37"/>
      <c r="H9" s="38"/>
    </row>
    <row r="10" spans="2:8" ht="67.5">
      <c r="B10" s="39" t="s">
        <v>12</v>
      </c>
      <c r="C10" s="40" t="s">
        <v>13</v>
      </c>
      <c r="D10" s="41" t="s">
        <v>80</v>
      </c>
      <c r="E10" s="40" t="s">
        <v>81</v>
      </c>
      <c r="F10" s="99" t="s">
        <v>78</v>
      </c>
      <c r="G10" s="40" t="s">
        <v>14</v>
      </c>
      <c r="H10" s="100" t="s">
        <v>79</v>
      </c>
    </row>
    <row r="11" spans="2:8" ht="12.75">
      <c r="B11" s="42">
        <f>TDMvsVoIP!C20</f>
        <v>16275</v>
      </c>
      <c r="C11" s="43">
        <f>LOOKUP(B11,'Carrier#1 VPN-MPLS Charges'!D12:'Carrier#1 VPN-MPLS Charges'!D12:D48)</f>
        <v>15000</v>
      </c>
      <c r="D11" s="44">
        <f>IF(B11&gt;C11,LOOKUP(B11,'Carrier#1 VPN-MPLS Charges'!D12:'Carrier#1 VPN-MPLS Charges'!E12:E48),LOOKUP(B11,'Carrier#1 VPN-MPLS Charges'!D12:'Carrier#1 VPN-MPLS Charges'!D12:D48))</f>
        <v>20000</v>
      </c>
      <c r="E11" s="45">
        <f>LOOKUP(D11,'Carrier#1 VPN-MPLS Charges'!D12:'Carrier#1 VPN-MPLS Charges'!G12:G48)</f>
        <v>8870</v>
      </c>
      <c r="F11" s="46">
        <f>LOOKUP(D11,'Carrier#1 VPN-MPLS Charges'!D12:'Carrier#1 VPN-MPLS Charges'!I12:I48)</f>
        <v>3281.9</v>
      </c>
      <c r="G11" s="47">
        <f>LOOKUP(D11,'Carrier#1 VPN-MPLS Charges'!D12:'Carrier#1 VPN-MPLS Charges'!J12:J48)</f>
        <v>1774</v>
      </c>
      <c r="H11" s="48">
        <f>LOOKUP(D11,'Carrier#1 VPN-MPLS Charges'!D12:'Carrier#1 VPN-MPLS Charges'!L12:L48)</f>
        <v>656.38</v>
      </c>
    </row>
    <row r="12" spans="2:8" ht="12.75">
      <c r="B12" s="49"/>
      <c r="C12" s="50"/>
      <c r="D12" s="51">
        <f>(D11/93)*0.7</f>
        <v>150.53763440860214</v>
      </c>
      <c r="E12" s="52" t="s">
        <v>15</v>
      </c>
      <c r="F12" s="50"/>
      <c r="G12" s="50"/>
      <c r="H12" s="53"/>
    </row>
    <row r="13" spans="2:8" ht="51">
      <c r="B13" s="54" t="s">
        <v>16</v>
      </c>
      <c r="C13" s="40" t="s">
        <v>17</v>
      </c>
      <c r="D13" s="41" t="s">
        <v>18</v>
      </c>
      <c r="E13" s="50"/>
      <c r="F13" s="50"/>
      <c r="G13" s="55" t="s">
        <v>19</v>
      </c>
      <c r="H13" s="53"/>
    </row>
    <row r="14" spans="2:8" ht="15.75">
      <c r="B14" s="56" t="str">
        <f>LOOKUP(D11,'Carrier#1 VPN-MPLS Charges'!D12:D49,'Carrier#1 VPN-MPLS Charges'!A12:A48)</f>
        <v>T3</v>
      </c>
      <c r="C14" s="57" t="str">
        <f>LOOKUP(D11,'Carrier#1 VPN-MPLS Charges'!D12:D49,'Carrier#1 VPN-MPLS Charges'!B12:B48)</f>
        <v>FR, IP,ATM</v>
      </c>
      <c r="D14" s="46">
        <f>LOOKUP(D11,'Carrier#1 VPN-MPLS Charges'!D12:D49,'Carrier#1 VPN-MPLS Charges'!C12:C48)</f>
        <v>2500</v>
      </c>
      <c r="E14" s="50"/>
      <c r="F14" s="50"/>
      <c r="G14" s="58">
        <f>F11+H11+D14</f>
        <v>6438.280000000001</v>
      </c>
      <c r="H14" s="53"/>
    </row>
    <row r="15" spans="2:8" ht="13.5" thickBot="1">
      <c r="B15" s="59" t="s">
        <v>20</v>
      </c>
      <c r="C15" s="60"/>
      <c r="D15" s="60"/>
      <c r="E15" s="60"/>
      <c r="F15" s="60"/>
      <c r="G15" s="60"/>
      <c r="H15" s="61"/>
    </row>
  </sheetData>
  <sheetProtection/>
  <conditionalFormatting sqref="D3">
    <cfRule type="cellIs" priority="1" dxfId="0" operator="greaterThan" stopIfTrue="1">
      <formula>622000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L41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12.28125" style="1" customWidth="1"/>
    <col min="2" max="2" width="9.421875" style="1" customWidth="1"/>
    <col min="3" max="3" width="9.28125" style="0" customWidth="1"/>
    <col min="4" max="4" width="11.8515625" style="1" customWidth="1"/>
    <col min="5" max="5" width="7.7109375" style="1" customWidth="1"/>
    <col min="6" max="6" width="3.8515625" style="0" customWidth="1"/>
    <col min="7" max="7" width="9.140625" style="62" customWidth="1"/>
    <col min="8" max="8" width="8.28125" style="0" bestFit="1" customWidth="1"/>
    <col min="9" max="9" width="10.57421875" style="62" customWidth="1"/>
    <col min="10" max="10" width="10.00390625" style="0" customWidth="1"/>
    <col min="12" max="12" width="11.140625" style="0" customWidth="1"/>
  </cols>
  <sheetData>
    <row r="1" ht="12.75">
      <c r="A1" s="8" t="s">
        <v>82</v>
      </c>
    </row>
    <row r="3" spans="1:12" ht="45">
      <c r="A3" s="17" t="s">
        <v>21</v>
      </c>
      <c r="B3" s="63" t="s">
        <v>22</v>
      </c>
      <c r="C3" s="64" t="s">
        <v>23</v>
      </c>
      <c r="D3" s="17" t="s">
        <v>24</v>
      </c>
      <c r="E3" s="63" t="s">
        <v>25</v>
      </c>
      <c r="F3" s="63" t="s">
        <v>26</v>
      </c>
      <c r="G3" s="65" t="s">
        <v>83</v>
      </c>
      <c r="H3" s="63" t="s">
        <v>27</v>
      </c>
      <c r="I3" s="66" t="s">
        <v>84</v>
      </c>
      <c r="J3" s="63" t="s">
        <v>28</v>
      </c>
      <c r="K3" s="63" t="s">
        <v>27</v>
      </c>
      <c r="L3" s="66" t="s">
        <v>85</v>
      </c>
    </row>
    <row r="4" spans="1:12" ht="12.75">
      <c r="A4" s="1" t="s">
        <v>29</v>
      </c>
      <c r="B4" s="5" t="s">
        <v>30</v>
      </c>
      <c r="C4" s="67">
        <v>550</v>
      </c>
      <c r="D4" s="1">
        <v>56</v>
      </c>
      <c r="E4" s="5">
        <f>D5</f>
        <v>64</v>
      </c>
      <c r="G4" s="68">
        <v>325</v>
      </c>
      <c r="H4" s="69">
        <v>0.63</v>
      </c>
      <c r="I4" s="62">
        <f>G4*(1-H4)</f>
        <v>120.25</v>
      </c>
      <c r="J4" s="68">
        <v>65</v>
      </c>
      <c r="K4" s="69">
        <v>0.63</v>
      </c>
      <c r="L4" s="62">
        <f>J4*(1-K4)</f>
        <v>24.05</v>
      </c>
    </row>
    <row r="5" spans="1:12" ht="12.75">
      <c r="A5" s="1" t="s">
        <v>31</v>
      </c>
      <c r="B5" s="5" t="s">
        <v>30</v>
      </c>
      <c r="C5" s="67">
        <v>550</v>
      </c>
      <c r="D5" s="1">
        <v>64</v>
      </c>
      <c r="E5" s="5">
        <f aca="true" t="shared" si="0" ref="E5:E40">D6</f>
        <v>128</v>
      </c>
      <c r="G5" s="68">
        <v>430</v>
      </c>
      <c r="H5" s="69">
        <v>0.63</v>
      </c>
      <c r="I5" s="62">
        <f aca="true" t="shared" si="1" ref="I5:I41">G5*(1-H5)</f>
        <v>159.1</v>
      </c>
      <c r="J5" s="68">
        <v>86</v>
      </c>
      <c r="K5" s="69">
        <v>0.63</v>
      </c>
      <c r="L5" s="62">
        <f aca="true" t="shared" si="2" ref="L5:L41">J5*(1-K5)</f>
        <v>31.82</v>
      </c>
    </row>
    <row r="6" spans="1:12" ht="12.75">
      <c r="A6" s="1" t="s">
        <v>31</v>
      </c>
      <c r="B6" s="5" t="s">
        <v>30</v>
      </c>
      <c r="C6" s="67">
        <v>550</v>
      </c>
      <c r="D6" s="1">
        <v>128</v>
      </c>
      <c r="E6" s="5">
        <f t="shared" si="0"/>
        <v>192</v>
      </c>
      <c r="G6" s="68">
        <v>560</v>
      </c>
      <c r="H6" s="69">
        <v>0.63</v>
      </c>
      <c r="I6" s="62">
        <f t="shared" si="1"/>
        <v>207.2</v>
      </c>
      <c r="J6" s="68">
        <v>112</v>
      </c>
      <c r="K6" s="69">
        <v>0.63</v>
      </c>
      <c r="L6" s="62">
        <f t="shared" si="2"/>
        <v>41.44</v>
      </c>
    </row>
    <row r="7" spans="1:12" ht="12.75">
      <c r="A7" s="1" t="s">
        <v>31</v>
      </c>
      <c r="B7" s="5" t="s">
        <v>30</v>
      </c>
      <c r="C7" s="67">
        <v>550</v>
      </c>
      <c r="D7" s="1">
        <v>192</v>
      </c>
      <c r="E7" s="5">
        <f t="shared" si="0"/>
        <v>256</v>
      </c>
      <c r="G7" s="68">
        <v>685</v>
      </c>
      <c r="H7" s="69">
        <v>0.63</v>
      </c>
      <c r="I7" s="62">
        <f t="shared" si="1"/>
        <v>253.45</v>
      </c>
      <c r="J7" s="68">
        <v>137</v>
      </c>
      <c r="K7" s="69">
        <v>0.63</v>
      </c>
      <c r="L7" s="62">
        <f t="shared" si="2"/>
        <v>50.69</v>
      </c>
    </row>
    <row r="8" spans="1:12" ht="12.75">
      <c r="A8" s="1" t="s">
        <v>31</v>
      </c>
      <c r="B8" s="5" t="s">
        <v>30</v>
      </c>
      <c r="C8" s="67">
        <v>550</v>
      </c>
      <c r="D8" s="1">
        <v>256</v>
      </c>
      <c r="E8" s="5">
        <f t="shared" si="0"/>
        <v>320</v>
      </c>
      <c r="G8" s="68">
        <v>920</v>
      </c>
      <c r="H8" s="69">
        <v>0.63</v>
      </c>
      <c r="I8" s="62">
        <f t="shared" si="1"/>
        <v>340.4</v>
      </c>
      <c r="J8" s="68">
        <v>184</v>
      </c>
      <c r="K8" s="69">
        <v>0.63</v>
      </c>
      <c r="L8" s="62">
        <f t="shared" si="2"/>
        <v>68.08</v>
      </c>
    </row>
    <row r="9" spans="1:12" ht="12.75">
      <c r="A9" s="1" t="s">
        <v>31</v>
      </c>
      <c r="B9" s="5" t="s">
        <v>30</v>
      </c>
      <c r="C9" s="67">
        <v>550</v>
      </c>
      <c r="D9" s="1">
        <v>320</v>
      </c>
      <c r="E9" s="5">
        <f t="shared" si="0"/>
        <v>384</v>
      </c>
      <c r="G9" s="68">
        <v>990</v>
      </c>
      <c r="H9" s="69">
        <v>0.63</v>
      </c>
      <c r="I9" s="62">
        <f t="shared" si="1"/>
        <v>366.3</v>
      </c>
      <c r="J9" s="68">
        <v>198</v>
      </c>
      <c r="K9" s="69">
        <v>0.63</v>
      </c>
      <c r="L9" s="62">
        <f t="shared" si="2"/>
        <v>73.26</v>
      </c>
    </row>
    <row r="10" spans="1:12" ht="12.75">
      <c r="A10" s="1" t="s">
        <v>31</v>
      </c>
      <c r="B10" s="5" t="s">
        <v>30</v>
      </c>
      <c r="C10" s="67">
        <v>550</v>
      </c>
      <c r="D10" s="1">
        <v>384</v>
      </c>
      <c r="E10" s="5">
        <f t="shared" si="0"/>
        <v>448</v>
      </c>
      <c r="G10" s="68">
        <v>1015</v>
      </c>
      <c r="H10" s="69">
        <v>0.63</v>
      </c>
      <c r="I10" s="62">
        <f t="shared" si="1"/>
        <v>375.55</v>
      </c>
      <c r="J10" s="68">
        <v>203</v>
      </c>
      <c r="K10" s="69">
        <v>0.63</v>
      </c>
      <c r="L10" s="62">
        <f t="shared" si="2"/>
        <v>75.11</v>
      </c>
    </row>
    <row r="11" spans="1:12" ht="12.75">
      <c r="A11" s="1" t="s">
        <v>31</v>
      </c>
      <c r="B11" s="5" t="s">
        <v>30</v>
      </c>
      <c r="C11" s="67">
        <v>550</v>
      </c>
      <c r="D11" s="1">
        <v>448</v>
      </c>
      <c r="E11" s="5">
        <f t="shared" si="0"/>
        <v>512</v>
      </c>
      <c r="G11" s="68">
        <v>1110</v>
      </c>
      <c r="H11" s="69">
        <v>0.63</v>
      </c>
      <c r="I11" s="62">
        <f t="shared" si="1"/>
        <v>410.7</v>
      </c>
      <c r="J11" s="68">
        <v>222</v>
      </c>
      <c r="K11" s="69">
        <v>0.63</v>
      </c>
      <c r="L11" s="62">
        <f t="shared" si="2"/>
        <v>82.14</v>
      </c>
    </row>
    <row r="12" spans="1:12" ht="12.75">
      <c r="A12" s="1" t="s">
        <v>31</v>
      </c>
      <c r="B12" s="5" t="s">
        <v>30</v>
      </c>
      <c r="C12" s="67">
        <v>550</v>
      </c>
      <c r="D12" s="1">
        <v>512</v>
      </c>
      <c r="E12" s="5">
        <f t="shared" si="0"/>
        <v>576</v>
      </c>
      <c r="G12" s="68">
        <v>1135</v>
      </c>
      <c r="H12" s="69">
        <v>0.63</v>
      </c>
      <c r="I12" s="62">
        <f t="shared" si="1"/>
        <v>419.95</v>
      </c>
      <c r="J12" s="68">
        <v>227</v>
      </c>
      <c r="K12" s="69">
        <v>0.63</v>
      </c>
      <c r="L12" s="62">
        <f t="shared" si="2"/>
        <v>83.99</v>
      </c>
    </row>
    <row r="13" spans="1:12" ht="12.75">
      <c r="A13" s="1" t="s">
        <v>31</v>
      </c>
      <c r="B13" s="5" t="s">
        <v>30</v>
      </c>
      <c r="C13" s="67">
        <v>550</v>
      </c>
      <c r="D13" s="1">
        <v>576</v>
      </c>
      <c r="E13" s="5">
        <f t="shared" si="0"/>
        <v>640</v>
      </c>
      <c r="G13" s="68">
        <v>1145</v>
      </c>
      <c r="H13" s="69">
        <v>0.63</v>
      </c>
      <c r="I13" s="62">
        <f t="shared" si="1"/>
        <v>423.65</v>
      </c>
      <c r="J13" s="68">
        <v>229</v>
      </c>
      <c r="K13" s="69">
        <v>0.63</v>
      </c>
      <c r="L13" s="62">
        <f t="shared" si="2"/>
        <v>84.73</v>
      </c>
    </row>
    <row r="14" spans="1:12" ht="12.75">
      <c r="A14" s="1" t="s">
        <v>31</v>
      </c>
      <c r="B14" s="5" t="s">
        <v>30</v>
      </c>
      <c r="C14" s="67">
        <v>550</v>
      </c>
      <c r="D14" s="1">
        <v>640</v>
      </c>
      <c r="E14" s="5">
        <f t="shared" si="0"/>
        <v>704</v>
      </c>
      <c r="G14" s="68">
        <v>1155</v>
      </c>
      <c r="H14" s="69">
        <v>0.63</v>
      </c>
      <c r="I14" s="62">
        <f t="shared" si="1"/>
        <v>427.35</v>
      </c>
      <c r="J14" s="68">
        <v>231</v>
      </c>
      <c r="K14" s="69">
        <v>0.63</v>
      </c>
      <c r="L14" s="62">
        <f t="shared" si="2"/>
        <v>85.47</v>
      </c>
    </row>
    <row r="15" spans="1:12" ht="12.75">
      <c r="A15" s="1" t="s">
        <v>31</v>
      </c>
      <c r="B15" s="5" t="s">
        <v>30</v>
      </c>
      <c r="C15" s="67">
        <v>550</v>
      </c>
      <c r="D15" s="1">
        <v>704</v>
      </c>
      <c r="E15" s="5">
        <f t="shared" si="0"/>
        <v>768</v>
      </c>
      <c r="G15" s="68">
        <v>1155</v>
      </c>
      <c r="H15" s="69">
        <v>0.63</v>
      </c>
      <c r="I15" s="62">
        <f t="shared" si="1"/>
        <v>427.35</v>
      </c>
      <c r="J15" s="68">
        <v>231</v>
      </c>
      <c r="K15" s="69">
        <v>0.63</v>
      </c>
      <c r="L15" s="62">
        <f t="shared" si="2"/>
        <v>85.47</v>
      </c>
    </row>
    <row r="16" spans="1:12" ht="12.75">
      <c r="A16" s="1" t="s">
        <v>31</v>
      </c>
      <c r="B16" s="5" t="s">
        <v>30</v>
      </c>
      <c r="C16" s="67">
        <v>550</v>
      </c>
      <c r="D16" s="1">
        <v>768</v>
      </c>
      <c r="E16" s="5">
        <f t="shared" si="0"/>
        <v>1024</v>
      </c>
      <c r="G16" s="68">
        <v>1165</v>
      </c>
      <c r="H16" s="69">
        <v>0.63</v>
      </c>
      <c r="I16" s="62">
        <f t="shared" si="1"/>
        <v>431.05</v>
      </c>
      <c r="J16" s="68">
        <v>233</v>
      </c>
      <c r="K16" s="69">
        <v>0.63</v>
      </c>
      <c r="L16" s="62">
        <f t="shared" si="2"/>
        <v>86.21</v>
      </c>
    </row>
    <row r="17" spans="1:12" ht="12.75">
      <c r="A17" s="1" t="s">
        <v>31</v>
      </c>
      <c r="B17" s="5" t="s">
        <v>30</v>
      </c>
      <c r="C17" s="67">
        <v>550</v>
      </c>
      <c r="D17" s="1">
        <v>1024</v>
      </c>
      <c r="E17" s="5">
        <f t="shared" si="0"/>
        <v>1544</v>
      </c>
      <c r="G17" s="68">
        <v>1200</v>
      </c>
      <c r="H17" s="69">
        <v>0.63</v>
      </c>
      <c r="I17" s="62">
        <f t="shared" si="1"/>
        <v>444</v>
      </c>
      <c r="J17" s="68">
        <v>240</v>
      </c>
      <c r="K17" s="69">
        <v>0.63</v>
      </c>
      <c r="L17" s="62">
        <f t="shared" si="2"/>
        <v>88.8</v>
      </c>
    </row>
    <row r="18" spans="1:12" ht="12.75">
      <c r="A18" s="1" t="s">
        <v>31</v>
      </c>
      <c r="B18" s="5" t="s">
        <v>32</v>
      </c>
      <c r="C18" s="67">
        <v>550</v>
      </c>
      <c r="D18" s="1">
        <v>1544</v>
      </c>
      <c r="E18" s="5">
        <f t="shared" si="0"/>
        <v>3088</v>
      </c>
      <c r="G18" s="68">
        <v>1295</v>
      </c>
      <c r="H18" s="69">
        <v>0.63</v>
      </c>
      <c r="I18" s="62">
        <f t="shared" si="1"/>
        <v>479.15</v>
      </c>
      <c r="J18" s="68">
        <v>259</v>
      </c>
      <c r="K18" s="69">
        <v>0.63</v>
      </c>
      <c r="L18" s="62">
        <f t="shared" si="2"/>
        <v>95.83</v>
      </c>
    </row>
    <row r="19" spans="1:12" ht="12.75">
      <c r="A19" s="1" t="s">
        <v>33</v>
      </c>
      <c r="B19" s="5" t="s">
        <v>34</v>
      </c>
      <c r="C19" s="67">
        <v>900</v>
      </c>
      <c r="D19" s="1">
        <v>3088</v>
      </c>
      <c r="E19" s="5">
        <f t="shared" si="0"/>
        <v>4632</v>
      </c>
      <c r="G19" s="68">
        <v>2800</v>
      </c>
      <c r="H19" s="69">
        <v>0.63</v>
      </c>
      <c r="I19" s="62">
        <f t="shared" si="1"/>
        <v>1036</v>
      </c>
      <c r="J19" s="68">
        <v>560</v>
      </c>
      <c r="K19" s="69">
        <v>0.63</v>
      </c>
      <c r="L19" s="62">
        <f t="shared" si="2"/>
        <v>207.2</v>
      </c>
    </row>
    <row r="20" spans="1:12" ht="12.75">
      <c r="A20" s="1" t="s">
        <v>33</v>
      </c>
      <c r="B20" s="5" t="s">
        <v>34</v>
      </c>
      <c r="C20" s="67">
        <v>900</v>
      </c>
      <c r="D20" s="1">
        <v>4632</v>
      </c>
      <c r="E20" s="5">
        <f t="shared" si="0"/>
        <v>5000</v>
      </c>
      <c r="G20" s="68">
        <v>3990</v>
      </c>
      <c r="H20" s="69">
        <v>0.63</v>
      </c>
      <c r="I20" s="62">
        <f t="shared" si="1"/>
        <v>1476.3</v>
      </c>
      <c r="J20" s="68">
        <v>798</v>
      </c>
      <c r="K20" s="69">
        <v>0.63</v>
      </c>
      <c r="L20" s="62">
        <f t="shared" si="2"/>
        <v>295.26</v>
      </c>
    </row>
    <row r="21" spans="1:12" ht="12.75">
      <c r="A21" s="1" t="s">
        <v>35</v>
      </c>
      <c r="B21" s="5" t="s">
        <v>36</v>
      </c>
      <c r="C21" s="67">
        <v>2500</v>
      </c>
      <c r="D21" s="1">
        <v>5000</v>
      </c>
      <c r="E21" s="5">
        <f t="shared" si="0"/>
        <v>6176</v>
      </c>
      <c r="G21" s="68">
        <v>4295</v>
      </c>
      <c r="H21" s="69">
        <v>0.63</v>
      </c>
      <c r="I21" s="62">
        <f t="shared" si="1"/>
        <v>1589.15</v>
      </c>
      <c r="J21" s="68">
        <v>859</v>
      </c>
      <c r="K21" s="69">
        <v>0.63</v>
      </c>
      <c r="L21" s="62">
        <f t="shared" si="2"/>
        <v>317.83</v>
      </c>
    </row>
    <row r="22" spans="1:12" ht="12.75">
      <c r="A22" s="1" t="s">
        <v>33</v>
      </c>
      <c r="B22" s="5" t="s">
        <v>34</v>
      </c>
      <c r="C22" s="67">
        <v>900</v>
      </c>
      <c r="D22" s="1">
        <v>6176</v>
      </c>
      <c r="E22" s="5">
        <f t="shared" si="0"/>
        <v>7720</v>
      </c>
      <c r="G22" s="68">
        <v>4435</v>
      </c>
      <c r="H22" s="69">
        <v>0.63</v>
      </c>
      <c r="I22" s="62">
        <f t="shared" si="1"/>
        <v>1640.95</v>
      </c>
      <c r="J22" s="68">
        <v>887</v>
      </c>
      <c r="K22" s="69">
        <v>0.63</v>
      </c>
      <c r="L22" s="62">
        <f t="shared" si="2"/>
        <v>328.19</v>
      </c>
    </row>
    <row r="23" spans="1:12" ht="12.75">
      <c r="A23" s="1" t="s">
        <v>33</v>
      </c>
      <c r="B23" s="5" t="s">
        <v>34</v>
      </c>
      <c r="C23" s="67">
        <v>900</v>
      </c>
      <c r="D23" s="1">
        <v>7720</v>
      </c>
      <c r="E23" s="5">
        <f t="shared" si="0"/>
        <v>9264</v>
      </c>
      <c r="G23" s="68">
        <v>4705</v>
      </c>
      <c r="H23" s="69">
        <v>0.63</v>
      </c>
      <c r="I23" s="62">
        <f t="shared" si="1"/>
        <v>1740.85</v>
      </c>
      <c r="J23" s="68">
        <v>941</v>
      </c>
      <c r="K23" s="69">
        <v>0.63</v>
      </c>
      <c r="L23" s="62">
        <f t="shared" si="2"/>
        <v>348.17</v>
      </c>
    </row>
    <row r="24" spans="1:12" ht="12.75">
      <c r="A24" s="1" t="s">
        <v>33</v>
      </c>
      <c r="B24" s="5" t="s">
        <v>34</v>
      </c>
      <c r="C24" s="67">
        <v>900</v>
      </c>
      <c r="D24" s="1">
        <v>9264</v>
      </c>
      <c r="E24" s="5">
        <f t="shared" si="0"/>
        <v>10000</v>
      </c>
      <c r="G24" s="68">
        <v>5305</v>
      </c>
      <c r="H24" s="69">
        <v>0.63</v>
      </c>
      <c r="I24" s="62">
        <f t="shared" si="1"/>
        <v>1962.85</v>
      </c>
      <c r="J24" s="68">
        <v>1061</v>
      </c>
      <c r="K24" s="69">
        <v>0.63</v>
      </c>
      <c r="L24" s="62">
        <f t="shared" si="2"/>
        <v>392.57</v>
      </c>
    </row>
    <row r="25" spans="1:12" ht="12.75">
      <c r="A25" s="1" t="s">
        <v>35</v>
      </c>
      <c r="B25" s="5" t="s">
        <v>36</v>
      </c>
      <c r="C25" s="67">
        <v>2500</v>
      </c>
      <c r="D25" s="1">
        <v>10000</v>
      </c>
      <c r="E25" s="5">
        <f t="shared" si="0"/>
        <v>10808</v>
      </c>
      <c r="G25" s="68">
        <v>5715</v>
      </c>
      <c r="H25" s="69">
        <v>0.63</v>
      </c>
      <c r="I25" s="62">
        <f t="shared" si="1"/>
        <v>2114.55</v>
      </c>
      <c r="J25" s="68">
        <v>1143</v>
      </c>
      <c r="K25" s="69">
        <v>0.63</v>
      </c>
      <c r="L25" s="62">
        <f t="shared" si="2"/>
        <v>422.90999999999997</v>
      </c>
    </row>
    <row r="26" spans="1:12" ht="12.75">
      <c r="A26" s="1" t="s">
        <v>33</v>
      </c>
      <c r="B26" s="5" t="s">
        <v>34</v>
      </c>
      <c r="C26" s="67">
        <v>900</v>
      </c>
      <c r="D26" s="1">
        <v>10808</v>
      </c>
      <c r="E26" s="5">
        <f t="shared" si="0"/>
        <v>12352</v>
      </c>
      <c r="G26" s="68">
        <v>6465</v>
      </c>
      <c r="H26" s="69">
        <v>0.63</v>
      </c>
      <c r="I26" s="62">
        <f t="shared" si="1"/>
        <v>2392.05</v>
      </c>
      <c r="J26" s="68">
        <v>1293</v>
      </c>
      <c r="K26" s="69">
        <v>0.63</v>
      </c>
      <c r="L26" s="62">
        <f t="shared" si="2"/>
        <v>478.40999999999997</v>
      </c>
    </row>
    <row r="27" spans="1:12" ht="12.75">
      <c r="A27" s="1" t="s">
        <v>33</v>
      </c>
      <c r="B27" s="5" t="s">
        <v>34</v>
      </c>
      <c r="C27" s="67">
        <v>900</v>
      </c>
      <c r="D27" s="1">
        <v>12352</v>
      </c>
      <c r="E27" s="5">
        <f t="shared" si="0"/>
        <v>15000</v>
      </c>
      <c r="G27" s="68">
        <v>6750</v>
      </c>
      <c r="H27" s="69">
        <v>0.63</v>
      </c>
      <c r="I27" s="62">
        <f t="shared" si="1"/>
        <v>2497.5</v>
      </c>
      <c r="J27" s="68">
        <v>1350</v>
      </c>
      <c r="K27" s="69">
        <v>0.63</v>
      </c>
      <c r="L27" s="62">
        <f t="shared" si="2"/>
        <v>499.5</v>
      </c>
    </row>
    <row r="28" spans="1:12" ht="12.75">
      <c r="A28" s="1" t="s">
        <v>35</v>
      </c>
      <c r="B28" s="5" t="s">
        <v>36</v>
      </c>
      <c r="C28" s="67">
        <v>2500</v>
      </c>
      <c r="D28" s="1">
        <v>15000</v>
      </c>
      <c r="E28" s="5">
        <f t="shared" si="0"/>
        <v>20000</v>
      </c>
      <c r="G28" s="68">
        <v>6955</v>
      </c>
      <c r="H28" s="69">
        <v>0.63</v>
      </c>
      <c r="I28" s="62">
        <f t="shared" si="1"/>
        <v>2573.35</v>
      </c>
      <c r="J28" s="68">
        <v>1391</v>
      </c>
      <c r="K28" s="69">
        <v>0.63</v>
      </c>
      <c r="L28" s="62">
        <f t="shared" si="2"/>
        <v>514.67</v>
      </c>
    </row>
    <row r="29" spans="1:12" ht="12.75">
      <c r="A29" s="1" t="s">
        <v>35</v>
      </c>
      <c r="B29" s="5" t="s">
        <v>36</v>
      </c>
      <c r="C29" s="67">
        <v>2500</v>
      </c>
      <c r="D29" s="1">
        <v>20000</v>
      </c>
      <c r="E29" s="5">
        <f t="shared" si="0"/>
        <v>25000</v>
      </c>
      <c r="G29" s="68">
        <v>8870</v>
      </c>
      <c r="H29" s="69">
        <v>0.63</v>
      </c>
      <c r="I29" s="62">
        <f t="shared" si="1"/>
        <v>3281.9</v>
      </c>
      <c r="J29" s="68">
        <v>1774</v>
      </c>
      <c r="K29" s="69">
        <v>0.63</v>
      </c>
      <c r="L29" s="62">
        <f t="shared" si="2"/>
        <v>656.38</v>
      </c>
    </row>
    <row r="30" spans="1:12" ht="12.75">
      <c r="A30" s="1" t="s">
        <v>35</v>
      </c>
      <c r="B30" s="5" t="s">
        <v>36</v>
      </c>
      <c r="C30" s="67">
        <v>2500</v>
      </c>
      <c r="D30" s="1">
        <v>25000</v>
      </c>
      <c r="E30" s="5">
        <f t="shared" si="0"/>
        <v>30000</v>
      </c>
      <c r="G30" s="68">
        <v>10975</v>
      </c>
      <c r="H30" s="69">
        <v>0.63</v>
      </c>
      <c r="I30" s="62">
        <f t="shared" si="1"/>
        <v>4060.75</v>
      </c>
      <c r="J30" s="68">
        <v>2195</v>
      </c>
      <c r="K30" s="69">
        <v>0.63</v>
      </c>
      <c r="L30" s="62">
        <f t="shared" si="2"/>
        <v>812.15</v>
      </c>
    </row>
    <row r="31" spans="1:12" ht="12.75">
      <c r="A31" s="1" t="s">
        <v>35</v>
      </c>
      <c r="B31" s="5" t="s">
        <v>36</v>
      </c>
      <c r="C31" s="67">
        <v>2500</v>
      </c>
      <c r="D31" s="1">
        <v>30000</v>
      </c>
      <c r="E31" s="5">
        <f t="shared" si="0"/>
        <v>45000</v>
      </c>
      <c r="G31" s="68">
        <v>12765</v>
      </c>
      <c r="H31" s="69">
        <v>0.63</v>
      </c>
      <c r="I31" s="62">
        <f t="shared" si="1"/>
        <v>4723.05</v>
      </c>
      <c r="J31" s="68">
        <v>2553</v>
      </c>
      <c r="K31" s="69">
        <v>0.63</v>
      </c>
      <c r="L31" s="62">
        <f t="shared" si="2"/>
        <v>944.61</v>
      </c>
    </row>
    <row r="32" spans="1:12" ht="12.75">
      <c r="A32" s="1" t="s">
        <v>35</v>
      </c>
      <c r="B32" s="5" t="s">
        <v>36</v>
      </c>
      <c r="C32" s="67">
        <v>2500</v>
      </c>
      <c r="D32" s="1">
        <v>45000</v>
      </c>
      <c r="E32" s="5">
        <f t="shared" si="0"/>
        <v>50000</v>
      </c>
      <c r="G32" s="68">
        <v>16090</v>
      </c>
      <c r="H32" s="69">
        <v>0.63</v>
      </c>
      <c r="I32" s="62">
        <f t="shared" si="1"/>
        <v>5953.3</v>
      </c>
      <c r="J32" s="68">
        <v>3218</v>
      </c>
      <c r="K32" s="69">
        <v>0.63</v>
      </c>
      <c r="L32" s="62">
        <f t="shared" si="2"/>
        <v>1190.66</v>
      </c>
    </row>
    <row r="33" spans="1:12" ht="12.75">
      <c r="A33" s="1" t="s">
        <v>37</v>
      </c>
      <c r="B33" s="5" t="s">
        <v>38</v>
      </c>
      <c r="C33" s="67">
        <v>5500</v>
      </c>
      <c r="D33" s="1">
        <v>50000</v>
      </c>
      <c r="E33" s="5">
        <f t="shared" si="0"/>
        <v>75000</v>
      </c>
      <c r="G33" s="68">
        <v>19880</v>
      </c>
      <c r="H33" s="69">
        <v>0.63</v>
      </c>
      <c r="I33" s="62">
        <f t="shared" si="1"/>
        <v>7355.6</v>
      </c>
      <c r="J33" s="68">
        <v>3976</v>
      </c>
      <c r="K33" s="69">
        <v>0.63</v>
      </c>
      <c r="L33" s="62">
        <f t="shared" si="2"/>
        <v>1471.12</v>
      </c>
    </row>
    <row r="34" spans="1:12" ht="12.75">
      <c r="A34" s="1" t="s">
        <v>37</v>
      </c>
      <c r="B34" s="5" t="s">
        <v>38</v>
      </c>
      <c r="C34" s="67">
        <v>5500</v>
      </c>
      <c r="D34" s="1">
        <v>75000</v>
      </c>
      <c r="E34" s="5">
        <f t="shared" si="0"/>
        <v>100000</v>
      </c>
      <c r="G34" s="68">
        <v>27870</v>
      </c>
      <c r="H34" s="69">
        <v>0.63</v>
      </c>
      <c r="I34" s="62">
        <f t="shared" si="1"/>
        <v>10311.9</v>
      </c>
      <c r="J34" s="68">
        <v>5574</v>
      </c>
      <c r="K34" s="69">
        <v>0.63</v>
      </c>
      <c r="L34" s="62">
        <f t="shared" si="2"/>
        <v>2062.38</v>
      </c>
    </row>
    <row r="35" spans="1:12" ht="12.75">
      <c r="A35" s="1" t="s">
        <v>37</v>
      </c>
      <c r="B35" s="5" t="s">
        <v>38</v>
      </c>
      <c r="C35" s="67">
        <v>5500</v>
      </c>
      <c r="D35" s="1">
        <v>100000</v>
      </c>
      <c r="E35" s="5">
        <f t="shared" si="0"/>
        <v>155000</v>
      </c>
      <c r="G35" s="68">
        <v>34195</v>
      </c>
      <c r="H35" s="69">
        <v>0.63</v>
      </c>
      <c r="I35" s="62">
        <f t="shared" si="1"/>
        <v>12652.15</v>
      </c>
      <c r="J35" s="68">
        <v>6839</v>
      </c>
      <c r="K35" s="69">
        <v>0.63</v>
      </c>
      <c r="L35" s="62">
        <f t="shared" si="2"/>
        <v>2530.43</v>
      </c>
    </row>
    <row r="36" spans="1:12" ht="12.75">
      <c r="A36" s="1" t="s">
        <v>37</v>
      </c>
      <c r="B36" s="5" t="s">
        <v>39</v>
      </c>
      <c r="C36" s="67">
        <v>5500</v>
      </c>
      <c r="D36" s="1">
        <v>155000</v>
      </c>
      <c r="E36" s="5">
        <f t="shared" si="0"/>
        <v>200000</v>
      </c>
      <c r="G36" s="68">
        <v>45645</v>
      </c>
      <c r="H36" s="69">
        <v>0.63</v>
      </c>
      <c r="I36" s="62">
        <f t="shared" si="1"/>
        <v>16888.65</v>
      </c>
      <c r="J36" s="68">
        <v>9129</v>
      </c>
      <c r="K36" s="69">
        <v>0.63</v>
      </c>
      <c r="L36" s="62">
        <f t="shared" si="2"/>
        <v>3377.73</v>
      </c>
    </row>
    <row r="37" spans="1:12" ht="12.75">
      <c r="A37" s="1" t="s">
        <v>40</v>
      </c>
      <c r="B37" s="5" t="s">
        <v>38</v>
      </c>
      <c r="C37" s="67">
        <v>10000</v>
      </c>
      <c r="D37" s="1">
        <v>200000</v>
      </c>
      <c r="E37" s="5">
        <f t="shared" si="0"/>
        <v>300000</v>
      </c>
      <c r="G37" s="68">
        <v>62265</v>
      </c>
      <c r="H37" s="69">
        <v>0.63</v>
      </c>
      <c r="I37" s="62">
        <f t="shared" si="1"/>
        <v>23038.05</v>
      </c>
      <c r="J37" s="68">
        <v>12453</v>
      </c>
      <c r="K37" s="69">
        <v>0.63</v>
      </c>
      <c r="L37" s="62">
        <f t="shared" si="2"/>
        <v>4607.61</v>
      </c>
    </row>
    <row r="38" spans="1:12" ht="12.75">
      <c r="A38" s="1" t="s">
        <v>40</v>
      </c>
      <c r="B38" s="5" t="s">
        <v>38</v>
      </c>
      <c r="C38" s="67">
        <v>10000</v>
      </c>
      <c r="D38" s="1">
        <v>300000</v>
      </c>
      <c r="E38" s="5">
        <f t="shared" si="0"/>
        <v>400000</v>
      </c>
      <c r="G38" s="68">
        <v>76315</v>
      </c>
      <c r="H38" s="69">
        <v>0.63</v>
      </c>
      <c r="I38" s="62">
        <f t="shared" si="1"/>
        <v>28236.55</v>
      </c>
      <c r="J38" s="68">
        <v>15263</v>
      </c>
      <c r="K38" s="69">
        <v>0.63</v>
      </c>
      <c r="L38" s="62">
        <f t="shared" si="2"/>
        <v>5647.3099999999995</v>
      </c>
    </row>
    <row r="39" spans="1:12" ht="12.75">
      <c r="A39" s="1" t="s">
        <v>40</v>
      </c>
      <c r="B39" s="5" t="s">
        <v>38</v>
      </c>
      <c r="C39" s="67">
        <v>10000</v>
      </c>
      <c r="D39" s="1">
        <v>400000</v>
      </c>
      <c r="E39" s="5">
        <f t="shared" si="0"/>
        <v>622000</v>
      </c>
      <c r="G39" s="68">
        <v>90360</v>
      </c>
      <c r="H39" s="69">
        <v>0.63</v>
      </c>
      <c r="I39" s="62">
        <f t="shared" si="1"/>
        <v>33433.2</v>
      </c>
      <c r="J39" s="68">
        <v>18072</v>
      </c>
      <c r="K39" s="69">
        <v>0.63</v>
      </c>
      <c r="L39" s="62">
        <f t="shared" si="2"/>
        <v>6686.64</v>
      </c>
    </row>
    <row r="40" spans="1:12" ht="12.75">
      <c r="A40" s="1" t="s">
        <v>40</v>
      </c>
      <c r="B40" s="5" t="s">
        <v>38</v>
      </c>
      <c r="C40" s="67">
        <v>10000</v>
      </c>
      <c r="D40" s="1">
        <v>622000</v>
      </c>
      <c r="E40" s="5">
        <f t="shared" si="0"/>
        <v>999999</v>
      </c>
      <c r="G40" s="68">
        <v>121230</v>
      </c>
      <c r="H40" s="69">
        <v>0.63</v>
      </c>
      <c r="I40" s="62">
        <f t="shared" si="1"/>
        <v>44855.1</v>
      </c>
      <c r="J40" s="68">
        <v>24246</v>
      </c>
      <c r="K40" s="69">
        <v>0.63</v>
      </c>
      <c r="L40" s="62">
        <f t="shared" si="2"/>
        <v>8971.02</v>
      </c>
    </row>
    <row r="41" spans="1:12" ht="12.75">
      <c r="A41" s="1">
        <v>99999</v>
      </c>
      <c r="B41" s="5">
        <v>99</v>
      </c>
      <c r="C41" s="67">
        <v>0</v>
      </c>
      <c r="D41" s="1">
        <v>999999</v>
      </c>
      <c r="E41" s="1">
        <v>99999</v>
      </c>
      <c r="G41" s="62">
        <v>0</v>
      </c>
      <c r="H41" s="69">
        <v>0.63</v>
      </c>
      <c r="I41" s="62">
        <f t="shared" si="1"/>
        <v>0</v>
      </c>
      <c r="J41" s="68">
        <v>0</v>
      </c>
      <c r="K41" s="69">
        <v>0.63</v>
      </c>
      <c r="L41" s="70">
        <f t="shared" si="2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Y23"/>
  <sheetViews>
    <sheetView zoomScalePageLayoutView="0" workbookViewId="0" topLeftCell="A1">
      <selection activeCell="O15" sqref="O15"/>
    </sheetView>
  </sheetViews>
  <sheetFormatPr defaultColWidth="9.140625" defaultRowHeight="12.75"/>
  <cols>
    <col min="1" max="1" width="21.140625" style="0" customWidth="1"/>
    <col min="2" max="2" width="4.28125" style="2" bestFit="1" customWidth="1"/>
    <col min="3" max="5" width="2.7109375" style="2" bestFit="1" customWidth="1"/>
    <col min="6" max="9" width="3.57421875" style="2" bestFit="1" customWidth="1"/>
    <col min="10" max="10" width="4.8515625" style="2" bestFit="1" customWidth="1"/>
    <col min="11" max="18" width="4.421875" style="2" bestFit="1" customWidth="1"/>
    <col min="19" max="23" width="3.57421875" style="2" bestFit="1" customWidth="1"/>
    <col min="24" max="25" width="2.7109375" style="2" bestFit="1" customWidth="1"/>
  </cols>
  <sheetData>
    <row r="1" s="9" customFormat="1" ht="18">
      <c r="A1" s="9" t="s">
        <v>5</v>
      </c>
    </row>
    <row r="2" spans="1:17" ht="12.75">
      <c r="A2" t="s">
        <v>2</v>
      </c>
      <c r="I2" s="3" t="s">
        <v>3</v>
      </c>
      <c r="J2" s="73">
        <v>0.7</v>
      </c>
      <c r="P2" s="3" t="s">
        <v>4</v>
      </c>
      <c r="Q2" s="74">
        <v>7.8</v>
      </c>
    </row>
    <row r="3" spans="9:11" ht="12.75">
      <c r="I3" s="3" t="s">
        <v>6</v>
      </c>
      <c r="J3" s="101">
        <v>0.0092</v>
      </c>
      <c r="K3" s="115"/>
    </row>
    <row r="6" spans="1:25" ht="12.75">
      <c r="A6" s="75" t="s">
        <v>52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  <c r="P6" s="4">
        <v>15</v>
      </c>
      <c r="Q6" s="4">
        <v>16</v>
      </c>
      <c r="R6" s="4">
        <v>17</v>
      </c>
      <c r="S6" s="4">
        <v>18</v>
      </c>
      <c r="T6" s="4">
        <v>19</v>
      </c>
      <c r="U6" s="4">
        <v>20</v>
      </c>
      <c r="V6" s="4">
        <v>21</v>
      </c>
      <c r="W6" s="4">
        <v>22</v>
      </c>
      <c r="X6" s="4">
        <v>23</v>
      </c>
      <c r="Y6" s="4">
        <v>24</v>
      </c>
    </row>
    <row r="7" spans="1:25" ht="12.75">
      <c r="A7" t="s">
        <v>0</v>
      </c>
      <c r="B7" s="5">
        <v>8</v>
      </c>
      <c r="C7" s="5">
        <v>6</v>
      </c>
      <c r="D7" s="5">
        <v>6</v>
      </c>
      <c r="E7" s="5">
        <v>5</v>
      </c>
      <c r="F7" s="5">
        <v>15</v>
      </c>
      <c r="G7" s="5">
        <v>22</v>
      </c>
      <c r="H7" s="5">
        <v>28</v>
      </c>
      <c r="I7" s="5">
        <v>60</v>
      </c>
      <c r="J7" s="5">
        <v>220</v>
      </c>
      <c r="K7" s="5">
        <v>824</v>
      </c>
      <c r="L7" s="5">
        <v>900</v>
      </c>
      <c r="M7" s="5">
        <v>490</v>
      </c>
      <c r="N7" s="5">
        <v>700</v>
      </c>
      <c r="O7" s="5">
        <v>745</v>
      </c>
      <c r="P7" s="5">
        <v>792</v>
      </c>
      <c r="Q7" s="5">
        <v>380</v>
      </c>
      <c r="R7" s="5">
        <v>139</v>
      </c>
      <c r="S7" s="5">
        <v>52</v>
      </c>
      <c r="T7" s="5">
        <v>48</v>
      </c>
      <c r="U7" s="5">
        <v>31</v>
      </c>
      <c r="V7" s="5">
        <v>28</v>
      </c>
      <c r="W7" s="5">
        <v>17</v>
      </c>
      <c r="X7" s="5">
        <v>12</v>
      </c>
      <c r="Y7" s="5">
        <v>7</v>
      </c>
    </row>
    <row r="8" spans="1:25" ht="12.75">
      <c r="A8" t="s">
        <v>1</v>
      </c>
      <c r="B8" s="7">
        <f aca="true" t="shared" si="0" ref="B8:Y8">B7*$J$2</f>
        <v>5.6</v>
      </c>
      <c r="C8" s="7">
        <f t="shared" si="0"/>
        <v>4.199999999999999</v>
      </c>
      <c r="D8" s="7">
        <f t="shared" si="0"/>
        <v>4.199999999999999</v>
      </c>
      <c r="E8" s="7">
        <f t="shared" si="0"/>
        <v>3.5</v>
      </c>
      <c r="F8" s="7">
        <f t="shared" si="0"/>
        <v>10.5</v>
      </c>
      <c r="G8" s="7">
        <f t="shared" si="0"/>
        <v>15.399999999999999</v>
      </c>
      <c r="H8" s="7">
        <f t="shared" si="0"/>
        <v>19.599999999999998</v>
      </c>
      <c r="I8" s="7">
        <f t="shared" si="0"/>
        <v>42</v>
      </c>
      <c r="J8" s="7">
        <f t="shared" si="0"/>
        <v>154</v>
      </c>
      <c r="K8" s="7">
        <f t="shared" si="0"/>
        <v>576.8</v>
      </c>
      <c r="L8" s="7">
        <f t="shared" si="0"/>
        <v>630</v>
      </c>
      <c r="M8" s="7">
        <f t="shared" si="0"/>
        <v>343</v>
      </c>
      <c r="N8" s="7">
        <f t="shared" si="0"/>
        <v>489.99999999999994</v>
      </c>
      <c r="O8" s="7">
        <f t="shared" si="0"/>
        <v>521.5</v>
      </c>
      <c r="P8" s="7">
        <f t="shared" si="0"/>
        <v>554.4</v>
      </c>
      <c r="Q8" s="7">
        <f t="shared" si="0"/>
        <v>266</v>
      </c>
      <c r="R8" s="7">
        <f t="shared" si="0"/>
        <v>97.3</v>
      </c>
      <c r="S8" s="7">
        <f t="shared" si="0"/>
        <v>36.4</v>
      </c>
      <c r="T8" s="7">
        <f t="shared" si="0"/>
        <v>33.599999999999994</v>
      </c>
      <c r="U8" s="7">
        <f t="shared" si="0"/>
        <v>21.7</v>
      </c>
      <c r="V8" s="7">
        <f t="shared" si="0"/>
        <v>19.599999999999998</v>
      </c>
      <c r="W8" s="7">
        <f t="shared" si="0"/>
        <v>11.899999999999999</v>
      </c>
      <c r="X8" s="7">
        <f t="shared" si="0"/>
        <v>8.399999999999999</v>
      </c>
      <c r="Y8" s="7">
        <f t="shared" si="0"/>
        <v>4.8999999999999995</v>
      </c>
    </row>
    <row r="9" ht="12.75">
      <c r="A9" s="3" t="s">
        <v>53</v>
      </c>
    </row>
    <row r="10" spans="1:25" ht="22.5">
      <c r="A10" s="76" t="s">
        <v>54</v>
      </c>
      <c r="B10" s="6">
        <f aca="true" t="shared" si="1" ref="B10:Y10">B8*$Q$2</f>
        <v>43.68</v>
      </c>
      <c r="C10" s="6">
        <f t="shared" si="1"/>
        <v>32.75999999999999</v>
      </c>
      <c r="D10" s="6">
        <f t="shared" si="1"/>
        <v>32.75999999999999</v>
      </c>
      <c r="E10" s="6">
        <f t="shared" si="1"/>
        <v>27.3</v>
      </c>
      <c r="F10" s="6">
        <f t="shared" si="1"/>
        <v>81.89999999999999</v>
      </c>
      <c r="G10" s="6">
        <f t="shared" si="1"/>
        <v>120.11999999999999</v>
      </c>
      <c r="H10" s="6">
        <f t="shared" si="1"/>
        <v>152.87999999999997</v>
      </c>
      <c r="I10" s="6">
        <f t="shared" si="1"/>
        <v>327.59999999999997</v>
      </c>
      <c r="J10" s="6">
        <f t="shared" si="1"/>
        <v>1201.2</v>
      </c>
      <c r="K10" s="6">
        <f t="shared" si="1"/>
        <v>4499.04</v>
      </c>
      <c r="L10" s="6">
        <f t="shared" si="1"/>
        <v>4914</v>
      </c>
      <c r="M10" s="6">
        <f t="shared" si="1"/>
        <v>2675.4</v>
      </c>
      <c r="N10" s="6">
        <f t="shared" si="1"/>
        <v>3821.9999999999995</v>
      </c>
      <c r="O10" s="6">
        <f t="shared" si="1"/>
        <v>4067.7</v>
      </c>
      <c r="P10" s="6">
        <f t="shared" si="1"/>
        <v>4324.32</v>
      </c>
      <c r="Q10" s="6">
        <f t="shared" si="1"/>
        <v>2074.7999999999997</v>
      </c>
      <c r="R10" s="6">
        <f t="shared" si="1"/>
        <v>758.9399999999999</v>
      </c>
      <c r="S10" s="6">
        <f t="shared" si="1"/>
        <v>283.91999999999996</v>
      </c>
      <c r="T10" s="6">
        <f t="shared" si="1"/>
        <v>262.0799999999999</v>
      </c>
      <c r="U10" s="6">
        <f t="shared" si="1"/>
        <v>169.26</v>
      </c>
      <c r="V10" s="6">
        <f t="shared" si="1"/>
        <v>152.87999999999997</v>
      </c>
      <c r="W10" s="6">
        <f t="shared" si="1"/>
        <v>92.82</v>
      </c>
      <c r="X10" s="6">
        <f t="shared" si="1"/>
        <v>65.51999999999998</v>
      </c>
      <c r="Y10" s="6">
        <f t="shared" si="1"/>
        <v>38.21999999999999</v>
      </c>
    </row>
    <row r="12" spans="2:7" ht="12.75">
      <c r="B12" s="3" t="s">
        <v>55</v>
      </c>
      <c r="C12" s="109">
        <f>SUM(B10:Y10)</f>
        <v>30221.099999999995</v>
      </c>
      <c r="D12" s="110"/>
      <c r="E12" s="110"/>
      <c r="F12" s="110"/>
      <c r="G12" s="110"/>
    </row>
    <row r="13" spans="2:7" ht="12.75">
      <c r="B13" s="3" t="s">
        <v>48</v>
      </c>
      <c r="C13" s="111">
        <f>J3*C12</f>
        <v>278.03412</v>
      </c>
      <c r="D13" s="116"/>
      <c r="E13" s="116"/>
      <c r="F13" s="116"/>
      <c r="G13" s="116"/>
    </row>
    <row r="14" spans="2:7" ht="12.75">
      <c r="B14" s="3" t="s">
        <v>7</v>
      </c>
      <c r="C14" s="113">
        <f>C13*21</f>
        <v>5838.716519999999</v>
      </c>
      <c r="D14" s="114"/>
      <c r="E14" s="114"/>
      <c r="F14" s="114"/>
      <c r="G14" s="114"/>
    </row>
    <row r="15" spans="2:8" ht="12.75">
      <c r="B15" s="3" t="s">
        <v>8</v>
      </c>
      <c r="C15" s="103">
        <f>MAX(B7:Y7)</f>
        <v>900</v>
      </c>
      <c r="D15" s="103"/>
      <c r="E15" s="103"/>
      <c r="F15" s="103"/>
      <c r="G15" s="103"/>
      <c r="H15" s="2" t="s">
        <v>11</v>
      </c>
    </row>
    <row r="16" spans="2:7" ht="12.75">
      <c r="B16" s="3" t="s">
        <v>45</v>
      </c>
      <c r="C16" s="103">
        <f>ROUNDUP(C15/24,0)</f>
        <v>38</v>
      </c>
      <c r="D16" s="103"/>
      <c r="E16" s="103"/>
      <c r="F16" s="103"/>
      <c r="G16" s="103"/>
    </row>
    <row r="17" spans="2:7" ht="12.75">
      <c r="B17" s="3" t="s">
        <v>46</v>
      </c>
      <c r="C17" s="104">
        <v>175</v>
      </c>
      <c r="D17" s="105"/>
      <c r="E17" s="105"/>
      <c r="F17" s="105"/>
      <c r="G17" s="106"/>
    </row>
    <row r="18" spans="2:7" ht="12.75">
      <c r="B18" s="3" t="s">
        <v>47</v>
      </c>
      <c r="C18" s="107">
        <f>C16*C17</f>
        <v>6650</v>
      </c>
      <c r="D18" s="107"/>
      <c r="E18" s="107"/>
      <c r="F18" s="107"/>
      <c r="G18" s="107"/>
    </row>
    <row r="19" spans="2:7" ht="12.75">
      <c r="B19" s="72" t="s">
        <v>49</v>
      </c>
      <c r="C19" s="108">
        <f>C14+C18</f>
        <v>12488.716519999998</v>
      </c>
      <c r="D19" s="108"/>
      <c r="E19" s="108"/>
      <c r="F19" s="108"/>
      <c r="G19" s="108"/>
    </row>
    <row r="20" spans="2:12" ht="12.75">
      <c r="B20" s="3" t="s">
        <v>9</v>
      </c>
      <c r="C20" s="103">
        <f>$C$15*K20</f>
        <v>75600</v>
      </c>
      <c r="D20" s="103"/>
      <c r="E20" s="103"/>
      <c r="F20" s="103"/>
      <c r="G20" s="103"/>
      <c r="H20" s="2" t="s">
        <v>43</v>
      </c>
      <c r="K20" s="71">
        <v>84</v>
      </c>
      <c r="L20" s="2" t="s">
        <v>44</v>
      </c>
    </row>
    <row r="21" spans="2:12" ht="12.75">
      <c r="B21" s="3" t="s">
        <v>10</v>
      </c>
      <c r="C21" s="103">
        <f>$C$15*K21</f>
        <v>27900</v>
      </c>
      <c r="D21" s="103"/>
      <c r="E21" s="103"/>
      <c r="F21" s="103"/>
      <c r="G21" s="103"/>
      <c r="H21" s="2" t="s">
        <v>43</v>
      </c>
      <c r="K21" s="71">
        <v>31</v>
      </c>
      <c r="L21" s="2" t="s">
        <v>44</v>
      </c>
    </row>
    <row r="22" spans="2:7" ht="12.75">
      <c r="B22" s="72" t="s">
        <v>50</v>
      </c>
      <c r="C22" s="108">
        <f>'Carrier#1 VPN Costs Calculator'!G6</f>
        <v>9643.96</v>
      </c>
      <c r="D22" s="108"/>
      <c r="E22" s="108"/>
      <c r="F22" s="108"/>
      <c r="G22" s="108"/>
    </row>
    <row r="23" spans="2:7" ht="12.75">
      <c r="B23" s="72" t="s">
        <v>51</v>
      </c>
      <c r="C23" s="108">
        <f>'Carrier#1 VPN Costs Calculator'!G14</f>
        <v>6438.280000000001</v>
      </c>
      <c r="D23" s="108"/>
      <c r="E23" s="108"/>
      <c r="F23" s="108"/>
      <c r="G23" s="108"/>
    </row>
  </sheetData>
  <sheetProtection/>
  <mergeCells count="13">
    <mergeCell ref="C23:G23"/>
    <mergeCell ref="C12:G12"/>
    <mergeCell ref="C13:G13"/>
    <mergeCell ref="C14:G14"/>
    <mergeCell ref="C15:G15"/>
    <mergeCell ref="C19:G19"/>
    <mergeCell ref="C20:G20"/>
    <mergeCell ref="C21:G21"/>
    <mergeCell ref="C22:G22"/>
    <mergeCell ref="J3:K3"/>
    <mergeCell ref="C16:G16"/>
    <mergeCell ref="C17:G17"/>
    <mergeCell ref="C18:G18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H6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25.28125" style="0" customWidth="1"/>
    <col min="2" max="6" width="15.28125" style="1" customWidth="1"/>
    <col min="7" max="10" width="9.8515625" style="1" customWidth="1"/>
  </cols>
  <sheetData>
    <row r="1" ht="15.75">
      <c r="A1" s="93" t="s">
        <v>71</v>
      </c>
    </row>
    <row r="2" spans="2:7" ht="12.75">
      <c r="B2" s="95" t="s">
        <v>31</v>
      </c>
      <c r="C2" s="95" t="s">
        <v>68</v>
      </c>
      <c r="D2" s="95" t="s">
        <v>37</v>
      </c>
      <c r="E2" s="95" t="s">
        <v>40</v>
      </c>
      <c r="F2" s="95" t="s">
        <v>69</v>
      </c>
      <c r="G2" s="95" t="s">
        <v>75</v>
      </c>
    </row>
    <row r="3" spans="1:8" ht="12.75">
      <c r="A3" t="s">
        <v>70</v>
      </c>
      <c r="B3" s="1">
        <v>24</v>
      </c>
      <c r="C3" s="1">
        <f>28*B3</f>
        <v>672</v>
      </c>
      <c r="D3" s="1">
        <f>100*B3</f>
        <v>2400</v>
      </c>
      <c r="E3" s="1">
        <f>4*D3</f>
        <v>9600</v>
      </c>
      <c r="F3" s="1">
        <f>4*E3</f>
        <v>38400</v>
      </c>
      <c r="G3" s="1">
        <f>4*F3</f>
        <v>153600</v>
      </c>
      <c r="H3" s="1" t="s">
        <v>72</v>
      </c>
    </row>
    <row r="4" spans="1:7" ht="12.75">
      <c r="A4" t="s">
        <v>73</v>
      </c>
      <c r="B4" s="1">
        <v>550</v>
      </c>
      <c r="C4" s="1">
        <v>2500</v>
      </c>
      <c r="D4" s="1">
        <v>5500</v>
      </c>
      <c r="E4" s="1">
        <v>16000</v>
      </c>
      <c r="F4" s="1">
        <v>33000</v>
      </c>
      <c r="G4" s="1">
        <v>64000</v>
      </c>
    </row>
    <row r="5" spans="1:7" ht="12.75">
      <c r="A5" t="s">
        <v>74</v>
      </c>
      <c r="C5" s="94"/>
      <c r="D5" s="94"/>
      <c r="E5" s="94"/>
      <c r="F5" s="94"/>
      <c r="G5" s="94"/>
    </row>
    <row r="6" spans="1:7" ht="12.75">
      <c r="A6" t="s">
        <v>76</v>
      </c>
      <c r="B6" s="94">
        <f aca="true" t="shared" si="0" ref="B6:G6">B4/B3</f>
        <v>22.916666666666668</v>
      </c>
      <c r="C6" s="94">
        <f t="shared" si="0"/>
        <v>3.7202380952380953</v>
      </c>
      <c r="D6" s="94">
        <f t="shared" si="0"/>
        <v>2.2916666666666665</v>
      </c>
      <c r="E6" s="94">
        <f t="shared" si="0"/>
        <v>1.6666666666666667</v>
      </c>
      <c r="F6" s="94">
        <f t="shared" si="0"/>
        <v>0.859375</v>
      </c>
      <c r="G6" s="94">
        <f t="shared" si="0"/>
        <v>0.4166666666666667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sdmccoy</dc:creator>
  <cp:keywords/>
  <dc:description/>
  <cp:lastModifiedBy>Steve McCoy</cp:lastModifiedBy>
  <dcterms:created xsi:type="dcterms:W3CDTF">2006-09-08T13:20:28Z</dcterms:created>
  <dcterms:modified xsi:type="dcterms:W3CDTF">2010-02-12T19:03:21Z</dcterms:modified>
  <cp:category/>
  <cp:version/>
  <cp:contentType/>
  <cp:contentStatus/>
</cp:coreProperties>
</file>